
<file path=[Content_Types].xml><?xml version="1.0" encoding="utf-8"?>
<Types xmlns="http://schemas.openxmlformats.org/package/2006/content-types">
  <Override PartName="/xl/diagrams/quickStyle1.xml" ContentType="application/vnd.openxmlformats-officedocument.drawingml.diagramStyle+xml"/>
  <Override PartName="/xl/worksheets/sheet9.xml" ContentType="application/vnd.openxmlformats-officedocument.spreadsheetml.worksheet+xml"/>
  <Override PartName="/xl/worksheets/sheet13.xml" ContentType="application/vnd.openxmlformats-officedocument.spreadsheetml.worksheet+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externalLinks/externalLink7.xml" ContentType="application/vnd.openxmlformats-officedocument.spreadsheetml.externalLink+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drawings/drawing2.xml" ContentType="application/vnd.openxmlformats-officedocument.drawing+xml"/>
  <Override PartName="/xl/charts/chart29.xml" ContentType="application/vnd.openxmlformats-officedocument.drawingml.chart+xml"/>
  <Override PartName="/xl/comments4.xml" ContentType="application/vnd.openxmlformats-officedocument.spreadsheetml.comments+xml"/>
  <Override PartName="/xl/worksheets/sheet3.xml" ContentType="application/vnd.openxmlformats-officedocument.spreadsheetml.worksheet+xml"/>
  <Override PartName="/xl/externalLinks/externalLink3.xml" ContentType="application/vnd.openxmlformats-officedocument.spreadsheetml.externalLink+xml"/>
  <Override PartName="/xl/comments2.xml" ContentType="application/vnd.openxmlformats-officedocument.spreadsheetml.comments+xml"/>
  <Override PartName="/xl/charts/chart18.xml" ContentType="application/vnd.openxmlformats-officedocument.drawingml.chart+xml"/>
  <Override PartName="/xl/charts/chart27.xml" ContentType="application/vnd.openxmlformats-officedocument.drawingml.chart+xml"/>
  <Override PartName="/xl/charts/chart36.xml" ContentType="application/vnd.openxmlformats-officedocument.drawingml.chart+xml"/>
  <Override PartName="/xl/charts/chart38.xml" ContentType="application/vnd.openxmlformats-officedocument.drawingml.chart+xml"/>
  <Override PartName="/xl/worksheets/sheet1.xml" ContentType="application/vnd.openxmlformats-officedocument.spreadsheetml.worksheet+xml"/>
  <Override PartName="/xl/externalLinks/externalLink1.xml" ContentType="application/vnd.openxmlformats-officedocument.spreadsheetml.externalLink+xml"/>
  <Override PartName="/xl/charts/chart16.xml" ContentType="application/vnd.openxmlformats-officedocument.drawingml.chart+xml"/>
  <Override PartName="/xl/charts/chart25.xml" ContentType="application/vnd.openxmlformats-officedocument.drawingml.chart+xml"/>
  <Override PartName="/xl/charts/chart34.xml" ContentType="application/vnd.openxmlformats-officedocument.drawingml.chart+xml"/>
  <Override PartName="/xl/externalLinks/externalLink10.xml" ContentType="application/vnd.openxmlformats-officedocument.spreadsheetml.externalLink+xml"/>
  <Override PartName="/xl/sharedStrings.xml" ContentType="application/vnd.openxmlformats-officedocument.spreadsheetml.sharedStrings+xml"/>
  <Override PartName="/xl/charts/chart14.xml" ContentType="application/vnd.openxmlformats-officedocument.drawingml.chart+xml"/>
  <Override PartName="/xl/charts/chart23.xml" ContentType="application/vnd.openxmlformats-officedocument.drawingml.chart+xml"/>
  <Override PartName="/xl/charts/chart32.xml" ContentType="application/vnd.openxmlformats-officedocument.drawingml.chart+xml"/>
  <Override PartName="/xl/ctrlProps/ctrlProp4.xml" ContentType="application/vnd.ms-excel.controlproperties+xml"/>
  <Override PartName="/xl/charts/chart9.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30.xml" ContentType="application/vnd.openxmlformats-officedocument.drawingml.chart+xml"/>
  <Override PartName="/xl/ctrlProps/ctrlProp2.xml" ContentType="application/vnd.ms-excel.controlproperties+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externalLinks/externalLink8.xml" ContentType="application/vnd.openxmlformats-officedocument.spreadsheetml.externalLink+xml"/>
  <Override PartName="/xl/charts/chart5.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diagrams/data1.xml" ContentType="application/vnd.openxmlformats-officedocument.drawingml.diagramData+xml"/>
  <Override PartName="/xl/diagrams/colors1.xml" ContentType="application/vnd.openxmlformats-officedocument.drawingml.diagramColors+xml"/>
  <Default Extension="jpeg" ContentType="image/jpeg"/>
  <Override PartName="/xl/charts/chart3.xml" ContentType="application/vnd.openxmlformats-officedocument.drawingml.char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iagrams/drawing1.xml" ContentType="application/vnd.ms-office.drawingml.diagramDrawing+xml"/>
  <Override PartName="/xl/drawings/drawing3.xml" ContentType="application/vnd.openxmlformats-officedocument.drawing+xml"/>
  <Override PartName="/xl/charts/chart1.xml" ContentType="application/vnd.openxmlformats-officedocument.drawingml.chart+xml"/>
  <Override PartName="/xl/charts/chart39.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3.xml" ContentType="application/vnd.openxmlformats-officedocument.spreadsheetml.comments+xml"/>
  <Override PartName="/xl/charts/chart19.xml" ContentType="application/vnd.openxmlformats-officedocument.drawingml.chart+xml"/>
  <Override PartName="/xl/charts/chart28.xml" ContentType="application/vnd.openxmlformats-officedocument.drawingml.chart+xml"/>
  <Override PartName="/xl/charts/chart37.xml" ContentType="application/vnd.openxmlformats-officedocument.drawingml.chart+xml"/>
  <Default Extension="vml" ContentType="application/vnd.openxmlformats-officedocument.vmlDrawing"/>
  <Override PartName="/xl/comments1.xml" ContentType="application/vnd.openxmlformats-officedocument.spreadsheetml.comments+xml"/>
  <Override PartName="/xl/charts/chart17.xml" ContentType="application/vnd.openxmlformats-officedocument.drawingml.chart+xml"/>
  <Override PartName="/xl/charts/chart26.xml" ContentType="application/vnd.openxmlformats-officedocument.drawingml.chart+xml"/>
  <Override PartName="/xl/charts/chart35.xml" ContentType="application/vnd.openxmlformats-officedocument.drawingml.chart+xml"/>
  <Override PartName="/xl/calcChain.xml" ContentType="application/vnd.openxmlformats-officedocument.spreadsheetml.calcChain+xml"/>
  <Override PartName="/xl/ctrlProps/ctrlProp5.xml" ContentType="application/vnd.ms-excel.controlproperties+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ctrlProps/ctrlProp3.xml" ContentType="application/vnd.ms-excel.controlproperties+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31.xml" ContentType="application/vnd.openxmlformats-officedocument.drawingml.chart+xml"/>
  <Override PartName="/xl/charts/chart40.xml" ContentType="application/vnd.openxmlformats-officedocument.drawingml.chart+xml"/>
  <Override PartName="/xl/ctrlProps/ctrlProp1.xml" ContentType="application/vnd.ms-excel.controlproperties+xml"/>
  <Override PartName="/docProps/core.xml" ContentType="application/vnd.openxmlformats-package.core-properties+xml"/>
  <Override PartName="/xl/diagrams/layout1.xml" ContentType="application/vnd.openxmlformats-officedocument.drawingml.diagramLayout+xml"/>
  <Override PartName="/xl/charts/chart6.xml" ContentType="application/vnd.openxmlformats-officedocument.drawingml.chart+xml"/>
  <Override PartName="/xl/charts/chart20.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5" windowWidth="15195" windowHeight="8190" firstSheet="8" activeTab="13"/>
  </bookViews>
  <sheets>
    <sheet name="Hoja índice" sheetId="15" r:id="rId1"/>
    <sheet name="Parametros Generales" sheetId="1" r:id="rId2"/>
    <sheet name="Salarios de Ref" sheetId="4" r:id="rId3"/>
    <sheet name="Componentes T.H." sheetId="5" r:id="rId4"/>
    <sheet name="Cost x Depart" sheetId="6" r:id="rId5"/>
    <sheet name="Res de Costos X Dept" sheetId="17" r:id="rId6"/>
    <sheet name="Res de Costos Pais" sheetId="9" r:id="rId7"/>
    <sheet name="Analisis de Escenarios" sheetId="16" r:id="rId8"/>
    <sheet name="Transporte y Viaticos" sheetId="10" r:id="rId9"/>
    <sheet name="Codigos" sheetId="7" r:id="rId10"/>
    <sheet name="Cot. Refrig. " sheetId="11" r:id="rId11"/>
    <sheet name="Cot. Papeleria" sheetId="12" r:id="rId12"/>
    <sheet name="Cot Int y Cel" sheetId="13" r:id="rId13"/>
    <sheet name="Cot. Chalecos" sheetId="1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INDEX_SHEET___ASAP_Utilities">'Hoja índice'!$C$6</definedName>
    <definedName name="_xlnm._FilterDatabase" localSheetId="4" hidden="1">'Cost x Depart'!$A$1:$AL$1276</definedName>
    <definedName name="¿Quiénes_están_inscritos_dentro_del_sistema__incluye_desinscr___" localSheetId="6">#REF!</definedName>
    <definedName name="¿Quiénes_están_inscritos_dentro_del_sistema__incluye_desinscr___" localSheetId="5">#REF!</definedName>
    <definedName name="¿Quiénes_están_inscritos_dentro_del_sistema__incluye_desinscr___">#REF!</definedName>
    <definedName name="ActividadRE" localSheetId="6">#REF!</definedName>
    <definedName name="ActividadRE" localSheetId="5">#REF!</definedName>
    <definedName name="ActividadRE">#REF!</definedName>
    <definedName name="ALMUERZO">'[1]Resumen Preparaciones'!$C$52:$C$113</definedName>
    <definedName name="almuerzocena">'[1]Resumen Preparaciones'!$C$52:$C$141</definedName>
    <definedName name="_xlnm.Print_Area" localSheetId="3">'Componentes T.H.'!$A$1:$V$34</definedName>
    <definedName name="_xlnm.Print_Area" localSheetId="4">'Cost x Depart'!$B$1:$AK$1275</definedName>
    <definedName name="_xlnm.Print_Area" localSheetId="6">'Res de Costos Pais'!$A$1:$I$144</definedName>
    <definedName name="_xlnm.Print_Area" localSheetId="5">'Res de Costos X Dept'!$A$1:$I$68</definedName>
    <definedName name="_xlnm.Print_Area" localSheetId="2">'Salarios de Ref'!$A$1:$F$119</definedName>
    <definedName name="Calidad">[2]PERSONAL!$P$58</definedName>
    <definedName name="Campamento">[2]PERSONAL!$P$122</definedName>
    <definedName name="CostoDirectoObra" localSheetId="5">#REF!</definedName>
    <definedName name="CostoDirectoObra">#REF!</definedName>
    <definedName name="CuantostieneEdSuperior" localSheetId="6">#REF!</definedName>
    <definedName name="CuantostieneEdSuperior" localSheetId="5">#REF!</definedName>
    <definedName name="CuantostieneEdSuperior">#REF!</definedName>
    <definedName name="Dedicacion" localSheetId="6">'[3]Tal Humano'!#REF!</definedName>
    <definedName name="Dedicacion" localSheetId="5">'[3]Tal Humano'!#REF!</definedName>
    <definedName name="Dedicacion">'[3]Tal Humano'!#REF!</definedName>
    <definedName name="desayuno">'[1]Resumen Preparaciones'!$C$5:$C$50</definedName>
    <definedName name="DESAYUNOS">'[1]Resumen Preparaciones'!$C$5:$C$33</definedName>
    <definedName name="DeseanCapacitacionEn" localSheetId="6">#REF!</definedName>
    <definedName name="DeseanCapacitacionEn" localSheetId="5">#REF!</definedName>
    <definedName name="DeseanCapacitacionEn">#REF!</definedName>
    <definedName name="DESINSCRITOS" localSheetId="6">#REF!</definedName>
    <definedName name="DESINSCRITOS" localSheetId="5">#REF!</definedName>
    <definedName name="DESINSCRITOS">#REF!</definedName>
    <definedName name="Dias">'Componentes T.H.'!$D$31</definedName>
    <definedName name="DISTRIBUCIONPORTIPOCONTRATO" localSheetId="6">#REF!</definedName>
    <definedName name="DISTRIBUCIONPORTIPOCONTRATO" localSheetId="5">#REF!</definedName>
    <definedName name="DISTRIBUCIONPORTIPOCONTRATO">#REF!</definedName>
    <definedName name="Ed_cons_empr_CodEntidad" localSheetId="6">#REF!</definedName>
    <definedName name="Ed_cons_empr_CodEntidad" localSheetId="5">#REF!</definedName>
    <definedName name="Ed_cons_empr_CodEntidad">#REF!</definedName>
    <definedName name="Ed_emp_codemp" localSheetId="6">#REF!</definedName>
    <definedName name="Ed_emp_codemp" localSheetId="5">#REF!</definedName>
    <definedName name="Ed_emp_codemp">#REF!</definedName>
    <definedName name="EdSuperior2" localSheetId="6">#REF!</definedName>
    <definedName name="EdSuperior2" localSheetId="5">#REF!</definedName>
    <definedName name="EdSuperior2">#REF!</definedName>
    <definedName name="EdSuperior3" localSheetId="6">#REF!</definedName>
    <definedName name="EdSuperior3" localSheetId="5">#REF!</definedName>
    <definedName name="EdSuperior3">#REF!</definedName>
    <definedName name="Empresa" localSheetId="6">#REF!</definedName>
    <definedName name="Empresa" localSheetId="5">#REF!</definedName>
    <definedName name="Empresa">#REF!</definedName>
    <definedName name="Ensayos">[2]PERSONAL!$P$100</definedName>
    <definedName name="EstadoMadCabFamilia" localSheetId="6">#REF!</definedName>
    <definedName name="EstadoMadCabFamilia" localSheetId="5">#REF!</definedName>
    <definedName name="EstadoMadCabFamilia">#REF!</definedName>
    <definedName name="Estrategia">[4]Tablas!$F$2:$F$34</definedName>
    <definedName name="Fuente">[4]Tablas!$D$2:$D$10</definedName>
    <definedName name="Funcionario" localSheetId="6">[5]frmFuncionario!#REF!</definedName>
    <definedName name="Funcionario" localSheetId="5">[5]frmFuncionario!#REF!</definedName>
    <definedName name="Funcionario">[5]frmFuncionario!#REF!</definedName>
    <definedName name="GruporUPS" localSheetId="6">#REF!</definedName>
    <definedName name="GruporUPS" localSheetId="5">#REF!</definedName>
    <definedName name="GruporUPS">#REF!</definedName>
    <definedName name="HFGHGFH3" localSheetId="6">[6]Planta_Super!#REF!</definedName>
    <definedName name="HFGHGFH3" localSheetId="5">[6]Planta_Super!#REF!</definedName>
    <definedName name="HFGHGFH3">[6]Planta_Super!#REF!</definedName>
    <definedName name="Horas" localSheetId="6">'[7]Tal Humano'!#REF!</definedName>
    <definedName name="Horas" localSheetId="5">'[7]Tal Humano'!#REF!</definedName>
    <definedName name="Horas">'[7]Tal Humano'!#REF!</definedName>
    <definedName name="hrgc" localSheetId="6">#REF!</definedName>
    <definedName name="hrgc" localSheetId="5">#REF!</definedName>
    <definedName name="hrgc">#REF!</definedName>
    <definedName name="Incre" localSheetId="6">#REF!</definedName>
    <definedName name="Incre" localSheetId="5">#REF!</definedName>
    <definedName name="Incre">#REF!</definedName>
    <definedName name="INCREMENTO" localSheetId="5">#REF!</definedName>
    <definedName name="INCREMENTO">#REF!</definedName>
    <definedName name="INCREMENTOS" localSheetId="5">#REF!</definedName>
    <definedName name="INCREMENTOS">#REF!</definedName>
    <definedName name="Indemnizacion" localSheetId="6">#REF!</definedName>
    <definedName name="Indemnizacion" localSheetId="5">#REF!</definedName>
    <definedName name="Indemnizacion">#REF!</definedName>
    <definedName name="InfLaboral" localSheetId="6">#REF!</definedName>
    <definedName name="InfLaboral" localSheetId="5">#REF!</definedName>
    <definedName name="InfLaboral">#REF!</definedName>
    <definedName name="InfLabrl" localSheetId="6">#REF!</definedName>
    <definedName name="InfLabrl" localSheetId="5">#REF!</definedName>
    <definedName name="InfLabrl">#REF!</definedName>
    <definedName name="Ins" localSheetId="6">#REF!</definedName>
    <definedName name="Ins" localSheetId="5">#REF!</definedName>
    <definedName name="Ins">#REF!</definedName>
    <definedName name="InsEnt" localSheetId="6">#REF!</definedName>
    <definedName name="InsEnt" localSheetId="5">#REF!</definedName>
    <definedName name="InsEnt">#REF!</definedName>
    <definedName name="InsFisMag" localSheetId="6">#REF!</definedName>
    <definedName name="InsFisMag" localSheetId="5">#REF!</definedName>
    <definedName name="InsFisMag">#REF!</definedName>
    <definedName name="IVASobreUtilidad">[2]IMPUESTOS!$E$16</definedName>
    <definedName name="LimitacionAuditiva" localSheetId="6">#REF!</definedName>
    <definedName name="LimitacionAuditiva" localSheetId="5">#REF!</definedName>
    <definedName name="LimitacionAuditiva">#REF!</definedName>
    <definedName name="LimitacionFisicaOMental" localSheetId="6">#REF!</definedName>
    <definedName name="LimitacionFisicaOMental" localSheetId="5">#REF!</definedName>
    <definedName name="LimitacionFisicaOMental">#REF!</definedName>
    <definedName name="LimitacionVisual" localSheetId="6">#REF!</definedName>
    <definedName name="LimitacionVisual" localSheetId="5">#REF!</definedName>
    <definedName name="LimitacionVisual">#REF!</definedName>
    <definedName name="LISTA_1" localSheetId="5">#REF!</definedName>
    <definedName name="LISTA_1">#REF!</definedName>
    <definedName name="LISTA_2" localSheetId="5">#REF!</definedName>
    <definedName name="LISTA_2">#REF!</definedName>
    <definedName name="LISTA_PROM" localSheetId="5">#REF!</definedName>
    <definedName name="LISTA_PROM">#REF!</definedName>
    <definedName name="MadreCabezaFamilia" localSheetId="6">#REF!</definedName>
    <definedName name="MadreCabezaFamilia" localSheetId="5">#REF!</definedName>
    <definedName name="MadreCabezaFamilia">#REF!</definedName>
    <definedName name="Mas_Bajo_Adminstración" localSheetId="5">'[8]Costo Total'!#REF!</definedName>
    <definedName name="Mas_Bajo_Adminstración">'[8]Costo Total'!#REF!</definedName>
    <definedName name="Mas_Bajo_Imprevistos" localSheetId="5">'[8]Costo Total'!#REF!</definedName>
    <definedName name="Mas_Bajo_Imprevistos">'[8]Costo Total'!#REF!</definedName>
    <definedName name="NivelEducacionBasica" localSheetId="6">#REF!</definedName>
    <definedName name="NivelEducacionBasica" localSheetId="5">#REF!</definedName>
    <definedName name="NivelEducacionBasica">#REF!</definedName>
    <definedName name="NIVELEDUCACIONSUP" localSheetId="6">#REF!</definedName>
    <definedName name="NIVELEDUCACIONSUP" localSheetId="5">#REF!</definedName>
    <definedName name="NIVELEDUCACIONSUP">#REF!</definedName>
    <definedName name="NivelEducacionSuperior" localSheetId="6">#REF!</definedName>
    <definedName name="NivelEducacionSuperior" localSheetId="5">#REF!</definedName>
    <definedName name="NivelEducacionSuperior">#REF!</definedName>
    <definedName name="NoFacturable">[2]PERSONAL!$P$46</definedName>
    <definedName name="NoNOInscritos" localSheetId="6">#REF!</definedName>
    <definedName name="NoNOInscritos" localSheetId="5">#REF!</definedName>
    <definedName name="NoNOInscritos">#REF!</definedName>
    <definedName name="NUMERO" localSheetId="6">[6]Planta_Super!#REF!</definedName>
    <definedName name="NUMERO" localSheetId="5">[6]Planta_Super!#REF!</definedName>
    <definedName name="NUMERO">[6]Planta_Super!#REF!</definedName>
    <definedName name="Objetivos">[4]Tablas!$E$2:$E$17</definedName>
    <definedName name="Oficina">[2]PERSONAL!$P$69</definedName>
    <definedName name="PagoRE" localSheetId="6">#REF!</definedName>
    <definedName name="PagoRE" localSheetId="5">#REF!</definedName>
    <definedName name="PagoRE">#REF!</definedName>
    <definedName name="perfil" localSheetId="3">'[1]Salarios de Ref'!$E$6:$E$93</definedName>
    <definedName name="perfil">'Salarios de Ref'!$E$6:$E$93</definedName>
    <definedName name="PERFILES" localSheetId="3">'[1]Salarios de Ref'!$B$6:$B$119</definedName>
    <definedName name="PERFILES">'Salarios de Ref'!$B$6:$B$119</definedName>
    <definedName name="pilares">[4]Tablas!$G$2:$G$6</definedName>
    <definedName name="PMCL" localSheetId="6">#REF!</definedName>
    <definedName name="PMCL" localSheetId="5">#REF!</definedName>
    <definedName name="PMCL">#REF!</definedName>
    <definedName name="Producto" localSheetId="5">#REF!</definedName>
    <definedName name="Producto">#REF!</definedName>
    <definedName name="productosdef">'[1]Precios Alimentos'!$A$5031:$A$5730</definedName>
    <definedName name="Profesional">[2]PERSONAL!$P$12</definedName>
    <definedName name="Promd_Administración" localSheetId="5">'[8]Costo Total'!#REF!</definedName>
    <definedName name="Promd_Administración">'[8]Costo Total'!#REF!</definedName>
    <definedName name="Promd_Adnimistración" localSheetId="5">'[8]Costo Total'!#REF!</definedName>
    <definedName name="Promd_Adnimistración">'[8]Costo Total'!#REF!</definedName>
    <definedName name="Promd_Imprevistos" localSheetId="5">'[8]Costo Total'!#REF!</definedName>
    <definedName name="Promd_Imprevistos">'[8]Costo Total'!#REF!</definedName>
    <definedName name="Promd_Utilidad" localSheetId="5">'[8]Costo Total'!#REF!</definedName>
    <definedName name="Promd_Utilidad">'[8]Costo Total'!#REF!</definedName>
    <definedName name="promedios" localSheetId="5">'[9]Proyección valor Lacteo MADR'!#REF!</definedName>
    <definedName name="promedios">'[9]Proyección valor Lacteo MADR'!#REF!</definedName>
    <definedName name="Proporcionalidad" localSheetId="6">'[3]Tal Humano'!#REF!</definedName>
    <definedName name="Proporcionalidad" localSheetId="5">'[3]Tal Humano'!#REF!</definedName>
    <definedName name="Proporcionalidad">'[3]Tal Humano'!#REF!</definedName>
    <definedName name="ProximoPension" localSheetId="6">#REF!</definedName>
    <definedName name="ProximoPension" localSheetId="5">#REF!</definedName>
    <definedName name="ProximoPension">#REF!</definedName>
    <definedName name="RECapacitacion" localSheetId="6">#REF!</definedName>
    <definedName name="RECapacitacion" localSheetId="5">#REF!</definedName>
    <definedName name="RECapacitacion">#REF!</definedName>
    <definedName name="REContPrivada" localSheetId="6">#REF!</definedName>
    <definedName name="REContPrivada" localSheetId="5">#REF!</definedName>
    <definedName name="REContPrivada">#REF!</definedName>
    <definedName name="salariosref">'[8]Salarios de Referencia'!$B$7:$B$120</definedName>
    <definedName name="SalarioSuperora3SMLVMyProfesionalidad" localSheetId="6">#REF!</definedName>
    <definedName name="SalarioSuperora3SMLVMyProfesionalidad" localSheetId="5">#REF!</definedName>
    <definedName name="SalarioSuperora3SMLVMyProfesionalidad">#REF!</definedName>
    <definedName name="Seguimiento" localSheetId="6">#REF!</definedName>
    <definedName name="Seguimiento" localSheetId="5">#REF!</definedName>
    <definedName name="Seguimiento">#REF!</definedName>
    <definedName name="Sexo" localSheetId="6">#REF!</definedName>
    <definedName name="Sexo" localSheetId="5">#REF!</definedName>
    <definedName name="Sexo">#REF!</definedName>
    <definedName name="solver_adj" localSheetId="4" hidden="1">'Cost x Depart'!#REF!</definedName>
    <definedName name="solver_cvg" localSheetId="4" hidden="1">0.0001</definedName>
    <definedName name="solver_drv" localSheetId="4" hidden="1">1</definedName>
    <definedName name="solver_est" localSheetId="4" hidden="1">1</definedName>
    <definedName name="solver_itr" localSheetId="4" hidden="1">100</definedName>
    <definedName name="solver_lhs1" localSheetId="4" hidden="1">'Cost x Depart'!#REF!</definedName>
    <definedName name="solver_lhs2" localSheetId="4" hidden="1">'Cost x Depart'!#REF!</definedName>
    <definedName name="solver_lin" localSheetId="4" hidden="1">2</definedName>
    <definedName name="solver_neg" localSheetId="4" hidden="1">2</definedName>
    <definedName name="solver_num" localSheetId="4" hidden="1">2</definedName>
    <definedName name="solver_nwt" localSheetId="4" hidden="1">1</definedName>
    <definedName name="solver_opt" localSheetId="4" hidden="1">'Cost x Depart'!#REF!</definedName>
    <definedName name="solver_pre" localSheetId="4" hidden="1">0.000001</definedName>
    <definedName name="solver_rel1" localSheetId="4" hidden="1">2</definedName>
    <definedName name="solver_rel2" localSheetId="4" hidden="1">3</definedName>
    <definedName name="solver_rhs1" localSheetId="4" hidden="1">0</definedName>
    <definedName name="solver_rhs2" localSheetId="4" hidden="1">0</definedName>
    <definedName name="solver_scl" localSheetId="4" hidden="1">2</definedName>
    <definedName name="solver_sho" localSheetId="4" hidden="1">2</definedName>
    <definedName name="solver_tim" localSheetId="4" hidden="1">100</definedName>
    <definedName name="solver_tol" localSheetId="4" hidden="1">0.05</definedName>
    <definedName name="solver_typ" localSheetId="4" hidden="1">1</definedName>
    <definedName name="solver_val" localSheetId="4" hidden="1">0</definedName>
    <definedName name="Sueldos" localSheetId="6">#REF!</definedName>
    <definedName name="Sueldos" localSheetId="5">#REF!</definedName>
    <definedName name="Sueldos">#REF!</definedName>
    <definedName name="Tecnico">[2]PERSONAL!$P$34</definedName>
    <definedName name="Telefono" localSheetId="6">#REF!</definedName>
    <definedName name="Telefono" localSheetId="5">#REF!</definedName>
    <definedName name="Telefono">#REF!</definedName>
    <definedName name="TIPOCONT" localSheetId="6">#REF!</definedName>
    <definedName name="TIPOCONT" localSheetId="5">#REF!</definedName>
    <definedName name="TIPOCONT">#REF!</definedName>
    <definedName name="tipodeanalisis">'[1]Analisis microbiologico'!$A$110:$A$182</definedName>
    <definedName name="TipoEmpresa" localSheetId="6">#REF!</definedName>
    <definedName name="TipoEmpresa" localSheetId="5">#REF!</definedName>
    <definedName name="TipoEmpresa">#REF!</definedName>
    <definedName name="TotalContratoSinIVA" localSheetId="5">#REF!</definedName>
    <definedName name="TotalContratoSinIVA">#REF!</definedName>
    <definedName name="TotalImpuestosObra">[2]IMPUESTOS!$F$10</definedName>
    <definedName name="Tramite">[2]PERSONAL!$P$88</definedName>
    <definedName name="Viajes">[2]PERSONAL!$P$93</definedName>
    <definedName name="Z_2451D215_DDAC_41B2_ADEE_30913FFD735E_.wvu.FilterData" localSheetId="4" hidden="1">'Cost x Depart'!$B$1:$G$1275</definedName>
    <definedName name="zzz">[10]Listas!$B$2:$B$34</definedName>
  </definedNames>
  <calcPr calcId="145621"/>
</workbook>
</file>

<file path=xl/calcChain.xml><?xml version="1.0" encoding="utf-8"?>
<calcChain xmlns="http://schemas.openxmlformats.org/spreadsheetml/2006/main">
  <c r="F1263" i="6"/>
  <c r="F1246"/>
  <c r="F1233"/>
  <c r="F1218"/>
  <c r="F1204"/>
  <c r="F1185"/>
  <c r="F1169"/>
  <c r="F1145"/>
  <c r="F1119"/>
  <c r="F1095"/>
  <c r="F1038"/>
  <c r="F654"/>
  <c r="F618"/>
  <c r="F504"/>
  <c r="F238"/>
  <c r="F185"/>
  <c r="F144"/>
  <c r="F103"/>
  <c r="F2"/>
  <c r="B100" i="16" l="1"/>
  <c r="B115"/>
  <c r="V24"/>
  <c r="B7"/>
  <c r="V7" s="1"/>
  <c r="B6"/>
  <c r="JP57" i="17"/>
  <c r="JP56"/>
  <c r="JP55"/>
  <c r="JP54"/>
  <c r="JP53"/>
  <c r="JQ53" s="1"/>
  <c r="JM47"/>
  <c r="JM40"/>
  <c r="JK20"/>
  <c r="JK19"/>
  <c r="JK18"/>
  <c r="JK17"/>
  <c r="JK16"/>
  <c r="JK11"/>
  <c r="ST57"/>
  <c r="ST56"/>
  <c r="ST55"/>
  <c r="ST54"/>
  <c r="ST53"/>
  <c r="SU53" s="1"/>
  <c r="SQ47"/>
  <c r="SQ40"/>
  <c r="SO20"/>
  <c r="SO19"/>
  <c r="SO18"/>
  <c r="SO17"/>
  <c r="SO16"/>
  <c r="SO11"/>
  <c r="SF57"/>
  <c r="RR57"/>
  <c r="RD57"/>
  <c r="QP57"/>
  <c r="QB57"/>
  <c r="PN57"/>
  <c r="OZ57"/>
  <c r="OL57"/>
  <c r="NX57"/>
  <c r="NJ57"/>
  <c r="MV57"/>
  <c r="MH57"/>
  <c r="LT57"/>
  <c r="LF57"/>
  <c r="KR57"/>
  <c r="KD57"/>
  <c r="JB57"/>
  <c r="IN57"/>
  <c r="HZ57"/>
  <c r="HL57"/>
  <c r="GX57"/>
  <c r="GJ57"/>
  <c r="FV57"/>
  <c r="FH57"/>
  <c r="ET57"/>
  <c r="EF57"/>
  <c r="DR57"/>
  <c r="DD57"/>
  <c r="CP57"/>
  <c r="CB57"/>
  <c r="SF56"/>
  <c r="RR56"/>
  <c r="RD56"/>
  <c r="QP56"/>
  <c r="QB56"/>
  <c r="PN56"/>
  <c r="OZ56"/>
  <c r="OL56"/>
  <c r="NX56"/>
  <c r="NJ56"/>
  <c r="MV56"/>
  <c r="MH56"/>
  <c r="LT56"/>
  <c r="LF56"/>
  <c r="KR56"/>
  <c r="KD56"/>
  <c r="JB56"/>
  <c r="IN56"/>
  <c r="HZ56"/>
  <c r="HL56"/>
  <c r="GX56"/>
  <c r="GJ56"/>
  <c r="FV56"/>
  <c r="FH56"/>
  <c r="ET56"/>
  <c r="EF56"/>
  <c r="DR56"/>
  <c r="DD56"/>
  <c r="CP56"/>
  <c r="CB56"/>
  <c r="SF55"/>
  <c r="RR55"/>
  <c r="RD55"/>
  <c r="QP55"/>
  <c r="QB55"/>
  <c r="PN55"/>
  <c r="OZ55"/>
  <c r="OL55"/>
  <c r="NX55"/>
  <c r="NJ55"/>
  <c r="MV55"/>
  <c r="MH55"/>
  <c r="LT55"/>
  <c r="LF55"/>
  <c r="KR55"/>
  <c r="KD55"/>
  <c r="JB55"/>
  <c r="IN55"/>
  <c r="HZ55"/>
  <c r="HL55"/>
  <c r="GX55"/>
  <c r="GJ55"/>
  <c r="FV55"/>
  <c r="FH55"/>
  <c r="ET55"/>
  <c r="EF55"/>
  <c r="DR55"/>
  <c r="DD55"/>
  <c r="CP55"/>
  <c r="CB55"/>
  <c r="SF54"/>
  <c r="RR54"/>
  <c r="RD54"/>
  <c r="QP54"/>
  <c r="QB54"/>
  <c r="PN54"/>
  <c r="OZ54"/>
  <c r="OL54"/>
  <c r="NX54"/>
  <c r="NJ54"/>
  <c r="MV54"/>
  <c r="MH54"/>
  <c r="LT54"/>
  <c r="LF54"/>
  <c r="KR54"/>
  <c r="KD54"/>
  <c r="JB54"/>
  <c r="IN54"/>
  <c r="HZ54"/>
  <c r="HL54"/>
  <c r="GX54"/>
  <c r="GJ54"/>
  <c r="FV54"/>
  <c r="FH54"/>
  <c r="ET54"/>
  <c r="EF54"/>
  <c r="DR54"/>
  <c r="DD54"/>
  <c r="CP54"/>
  <c r="CB54"/>
  <c r="SF53"/>
  <c r="SG53" s="1"/>
  <c r="RR53"/>
  <c r="RS53" s="1"/>
  <c r="RD53"/>
  <c r="RE53" s="1"/>
  <c r="QP53"/>
  <c r="QQ53" s="1"/>
  <c r="QB53"/>
  <c r="QC53" s="1"/>
  <c r="PN53"/>
  <c r="PO53" s="1"/>
  <c r="OZ53"/>
  <c r="PA53" s="1"/>
  <c r="OL53"/>
  <c r="OM53" s="1"/>
  <c r="NX53"/>
  <c r="NY53" s="1"/>
  <c r="NK53"/>
  <c r="NJ53"/>
  <c r="MW53"/>
  <c r="MV53"/>
  <c r="MH53"/>
  <c r="MI53" s="1"/>
  <c r="LT53"/>
  <c r="LU53" s="1"/>
  <c r="LG53"/>
  <c r="LF53"/>
  <c r="KS53"/>
  <c r="KR53"/>
  <c r="KE53"/>
  <c r="KD53"/>
  <c r="JB53"/>
  <c r="JC53" s="1"/>
  <c r="IN53"/>
  <c r="IO53" s="1"/>
  <c r="HZ53"/>
  <c r="IA53" s="1"/>
  <c r="HL53"/>
  <c r="HM53" s="1"/>
  <c r="GX53"/>
  <c r="GY53" s="1"/>
  <c r="GJ53"/>
  <c r="GK53" s="1"/>
  <c r="FV53"/>
  <c r="FW53" s="1"/>
  <c r="FH53"/>
  <c r="FI53" s="1"/>
  <c r="ET53"/>
  <c r="EU53" s="1"/>
  <c r="EG53"/>
  <c r="EF53"/>
  <c r="DS53"/>
  <c r="DR53"/>
  <c r="DD53"/>
  <c r="DE53" s="1"/>
  <c r="CP53"/>
  <c r="CQ53" s="1"/>
  <c r="CC53"/>
  <c r="CB53"/>
  <c r="SC47"/>
  <c r="RO47"/>
  <c r="RA47"/>
  <c r="QM47"/>
  <c r="PY47"/>
  <c r="PK47"/>
  <c r="OW47"/>
  <c r="OI47"/>
  <c r="NU47"/>
  <c r="NG47"/>
  <c r="MS47"/>
  <c r="ME47"/>
  <c r="LQ47"/>
  <c r="LC47"/>
  <c r="KO47"/>
  <c r="KA47"/>
  <c r="IY47"/>
  <c r="IK47"/>
  <c r="HW47"/>
  <c r="HI47"/>
  <c r="GU47"/>
  <c r="GG47"/>
  <c r="FS47"/>
  <c r="FE47"/>
  <c r="EQ47"/>
  <c r="EC47"/>
  <c r="DO47"/>
  <c r="DA47"/>
  <c r="CM47"/>
  <c r="BY47"/>
  <c r="SC40"/>
  <c r="RO40"/>
  <c r="RA40"/>
  <c r="QM40"/>
  <c r="PY40"/>
  <c r="PK40"/>
  <c r="OW40"/>
  <c r="OI40"/>
  <c r="NU40"/>
  <c r="NG40"/>
  <c r="MS40"/>
  <c r="ME40"/>
  <c r="LQ40"/>
  <c r="LC40"/>
  <c r="KO40"/>
  <c r="KA40"/>
  <c r="IY40"/>
  <c r="IK40"/>
  <c r="HW40"/>
  <c r="HI40"/>
  <c r="GU40"/>
  <c r="GG40"/>
  <c r="FS40"/>
  <c r="FE40"/>
  <c r="EQ40"/>
  <c r="EC40"/>
  <c r="DO40"/>
  <c r="DA40"/>
  <c r="CM40"/>
  <c r="BY40"/>
  <c r="SA20"/>
  <c r="RM20"/>
  <c r="QY20"/>
  <c r="QK20"/>
  <c r="PW20"/>
  <c r="PI20"/>
  <c r="OU20"/>
  <c r="OG20"/>
  <c r="NS20"/>
  <c r="NE20"/>
  <c r="MQ20"/>
  <c r="MC20"/>
  <c r="LO20"/>
  <c r="LA20"/>
  <c r="KM20"/>
  <c r="JY20"/>
  <c r="IW20"/>
  <c r="II20"/>
  <c r="HU20"/>
  <c r="HG20"/>
  <c r="GS20"/>
  <c r="GE20"/>
  <c r="FQ20"/>
  <c r="FC20"/>
  <c r="EO20"/>
  <c r="EA20"/>
  <c r="DM20"/>
  <c r="CY20"/>
  <c r="CK20"/>
  <c r="BW20"/>
  <c r="SA19"/>
  <c r="RM19"/>
  <c r="QY19"/>
  <c r="QK19"/>
  <c r="PW19"/>
  <c r="PI19"/>
  <c r="OU19"/>
  <c r="OG19"/>
  <c r="NS19"/>
  <c r="NE19"/>
  <c r="MQ19"/>
  <c r="MC19"/>
  <c r="LO19"/>
  <c r="LA19"/>
  <c r="KM19"/>
  <c r="JY19"/>
  <c r="IW19"/>
  <c r="II19"/>
  <c r="HU19"/>
  <c r="HG19"/>
  <c r="GS19"/>
  <c r="GE19"/>
  <c r="FQ19"/>
  <c r="FC19"/>
  <c r="EO19"/>
  <c r="EA19"/>
  <c r="DM19"/>
  <c r="CY19"/>
  <c r="CK19"/>
  <c r="BW19"/>
  <c r="SA18"/>
  <c r="RM18"/>
  <c r="QY18"/>
  <c r="QK18"/>
  <c r="PW18"/>
  <c r="PI18"/>
  <c r="OU18"/>
  <c r="OG18"/>
  <c r="NS18"/>
  <c r="NE18"/>
  <c r="MQ18"/>
  <c r="MC18"/>
  <c r="LO18"/>
  <c r="LA18"/>
  <c r="KM18"/>
  <c r="JY18"/>
  <c r="IW18"/>
  <c r="II18"/>
  <c r="HU18"/>
  <c r="HG18"/>
  <c r="GS18"/>
  <c r="GE18"/>
  <c r="FQ18"/>
  <c r="FC18"/>
  <c r="EO18"/>
  <c r="EA18"/>
  <c r="DM18"/>
  <c r="CY18"/>
  <c r="CK18"/>
  <c r="BW18"/>
  <c r="SA17"/>
  <c r="RM17"/>
  <c r="QY17"/>
  <c r="QK17"/>
  <c r="PW17"/>
  <c r="PI17"/>
  <c r="OU17"/>
  <c r="OG17"/>
  <c r="NS17"/>
  <c r="NE17"/>
  <c r="MQ17"/>
  <c r="MC17"/>
  <c r="LO17"/>
  <c r="LA17"/>
  <c r="KM17"/>
  <c r="JY17"/>
  <c r="IW17"/>
  <c r="II17"/>
  <c r="HU17"/>
  <c r="HG17"/>
  <c r="GS17"/>
  <c r="GE17"/>
  <c r="FQ17"/>
  <c r="FC17"/>
  <c r="EO17"/>
  <c r="EA17"/>
  <c r="DM17"/>
  <c r="CY17"/>
  <c r="CK17"/>
  <c r="BW17"/>
  <c r="SA16"/>
  <c r="RM16"/>
  <c r="QY16"/>
  <c r="QK16"/>
  <c r="PW16"/>
  <c r="PI16"/>
  <c r="OU16"/>
  <c r="OG16"/>
  <c r="NS16"/>
  <c r="NE16"/>
  <c r="MQ16"/>
  <c r="MC16"/>
  <c r="LO16"/>
  <c r="LA16"/>
  <c r="KM16"/>
  <c r="JY16"/>
  <c r="IW16"/>
  <c r="II16"/>
  <c r="HU16"/>
  <c r="HG16"/>
  <c r="GS16"/>
  <c r="GE16"/>
  <c r="FQ16"/>
  <c r="FC16"/>
  <c r="EO16"/>
  <c r="EA16"/>
  <c r="DM16"/>
  <c r="CY16"/>
  <c r="CK16"/>
  <c r="BW16"/>
  <c r="SA11"/>
  <c r="RM11"/>
  <c r="QY11"/>
  <c r="QK11"/>
  <c r="PW11"/>
  <c r="PI11"/>
  <c r="OU11"/>
  <c r="OG11"/>
  <c r="NS11"/>
  <c r="NE11"/>
  <c r="MQ11"/>
  <c r="MC11"/>
  <c r="LO11"/>
  <c r="LA11"/>
  <c r="KM11"/>
  <c r="JY11"/>
  <c r="IW11"/>
  <c r="II11"/>
  <c r="HU11"/>
  <c r="HG11"/>
  <c r="GS11"/>
  <c r="GE11"/>
  <c r="FQ11"/>
  <c r="FC11"/>
  <c r="EO11"/>
  <c r="EA11"/>
  <c r="DM11"/>
  <c r="CY11"/>
  <c r="CK11"/>
  <c r="BW11"/>
  <c r="BN57"/>
  <c r="BN56"/>
  <c r="BN55"/>
  <c r="BN54"/>
  <c r="BO53"/>
  <c r="BN53"/>
  <c r="BK47"/>
  <c r="BK40"/>
  <c r="BI20"/>
  <c r="BI19"/>
  <c r="BI18"/>
  <c r="BI17"/>
  <c r="BI16"/>
  <c r="BI11"/>
  <c r="AZ57"/>
  <c r="AZ56"/>
  <c r="AZ55"/>
  <c r="AZ54"/>
  <c r="AZ53"/>
  <c r="BA53" s="1"/>
  <c r="AW47"/>
  <c r="AW40"/>
  <c r="AU20"/>
  <c r="AU19"/>
  <c r="AU18"/>
  <c r="AU17"/>
  <c r="AU16"/>
  <c r="AU11"/>
  <c r="E11"/>
  <c r="C13"/>
  <c r="C71" s="1"/>
  <c r="C16"/>
  <c r="E16"/>
  <c r="C17"/>
  <c r="E17"/>
  <c r="C18"/>
  <c r="E18"/>
  <c r="C19"/>
  <c r="E19"/>
  <c r="C20"/>
  <c r="E20"/>
  <c r="G40"/>
  <c r="G47"/>
  <c r="J53"/>
  <c r="K53" s="1"/>
  <c r="J54"/>
  <c r="K54"/>
  <c r="J55"/>
  <c r="K55"/>
  <c r="J56"/>
  <c r="K56"/>
  <c r="J57"/>
  <c r="B71"/>
  <c r="K759" i="6"/>
  <c r="M1265"/>
  <c r="R1265" s="1"/>
  <c r="M1266"/>
  <c r="R1266" s="1"/>
  <c r="M1267"/>
  <c r="R1267" s="1"/>
  <c r="M1268"/>
  <c r="M1269"/>
  <c r="R1269" s="1"/>
  <c r="M1270"/>
  <c r="R1270" s="1"/>
  <c r="M1271"/>
  <c r="M1272"/>
  <c r="R1272" s="1"/>
  <c r="M1273"/>
  <c r="R1273" s="1"/>
  <c r="M1274"/>
  <c r="R1274" s="1"/>
  <c r="C123"/>
  <c r="C124" s="1"/>
  <c r="C125" s="1"/>
  <c r="C126" s="1"/>
  <c r="C127" s="1"/>
  <c r="C128" s="1"/>
  <c r="C129" s="1"/>
  <c r="C130" s="1"/>
  <c r="C131" s="1"/>
  <c r="C132" s="1"/>
  <c r="C133" s="1"/>
  <c r="C134" s="1"/>
  <c r="C135" s="1"/>
  <c r="C136" s="1"/>
  <c r="C137" s="1"/>
  <c r="C138" s="1"/>
  <c r="C139" s="1"/>
  <c r="C140" s="1"/>
  <c r="C141" s="1"/>
  <c r="C142" s="1"/>
  <c r="C143" s="1"/>
  <c r="C168"/>
  <c r="C169" s="1"/>
  <c r="C170" s="1"/>
  <c r="C219"/>
  <c r="C220" s="1"/>
  <c r="C221" s="1"/>
  <c r="C222" s="1"/>
  <c r="C292"/>
  <c r="C293" s="1"/>
  <c r="C294" s="1"/>
  <c r="C295" s="1"/>
  <c r="C345"/>
  <c r="C346" s="1"/>
  <c r="C347" s="1"/>
  <c r="C348" s="1"/>
  <c r="C349" s="1"/>
  <c r="C350" s="1"/>
  <c r="C372"/>
  <c r="C373" s="1"/>
  <c r="C413"/>
  <c r="C414" s="1"/>
  <c r="C415" s="1"/>
  <c r="C416" s="1"/>
  <c r="C454"/>
  <c r="C455" s="1"/>
  <c r="C456" s="1"/>
  <c r="C457" s="1"/>
  <c r="C458" s="1"/>
  <c r="C459" s="1"/>
  <c r="C495"/>
  <c r="C496" s="1"/>
  <c r="C497" s="1"/>
  <c r="C498" s="1"/>
  <c r="C499" s="1"/>
  <c r="C544"/>
  <c r="C549"/>
  <c r="C550" s="1"/>
  <c r="C552"/>
  <c r="C553" s="1"/>
  <c r="C554" s="1"/>
  <c r="C558"/>
  <c r="C561"/>
  <c r="C563"/>
  <c r="C586"/>
  <c r="C587" s="1"/>
  <c r="C591"/>
  <c r="C593"/>
  <c r="C596"/>
  <c r="C599"/>
  <c r="C600" s="1"/>
  <c r="C601" s="1"/>
  <c r="C607"/>
  <c r="C608" s="1"/>
  <c r="C609" s="1"/>
  <c r="C667"/>
  <c r="C668" s="1"/>
  <c r="C710"/>
  <c r="C711" s="1"/>
  <c r="C740"/>
  <c r="C741" s="1"/>
  <c r="C742" s="1"/>
  <c r="C823"/>
  <c r="C824" s="1"/>
  <c r="C857"/>
  <c r="C858" s="1"/>
  <c r="C859" s="1"/>
  <c r="C860" s="1"/>
  <c r="C861" s="1"/>
  <c r="C884"/>
  <c r="C885" s="1"/>
  <c r="C886" s="1"/>
  <c r="C887" s="1"/>
  <c r="C888" s="1"/>
  <c r="C889" s="1"/>
  <c r="C890" s="1"/>
  <c r="C891" s="1"/>
  <c r="C892" s="1"/>
  <c r="C893" s="1"/>
  <c r="C894" s="1"/>
  <c r="C895" s="1"/>
  <c r="C896" s="1"/>
  <c r="C907"/>
  <c r="C908" s="1"/>
  <c r="C942"/>
  <c r="C943" s="1"/>
  <c r="C944" s="1"/>
  <c r="C945" s="1"/>
  <c r="C946" s="1"/>
  <c r="C947" s="1"/>
  <c r="C948" s="1"/>
  <c r="C949" s="1"/>
  <c r="C950" s="1"/>
  <c r="C951" s="1"/>
  <c r="C952" s="1"/>
  <c r="C980"/>
  <c r="C981" s="1"/>
  <c r="C1019"/>
  <c r="C1020" s="1"/>
  <c r="C1021" s="1"/>
  <c r="C1022" s="1"/>
  <c r="C1023" s="1"/>
  <c r="C1024" s="1"/>
  <c r="C1025" s="1"/>
  <c r="C1026" s="1"/>
  <c r="C1027" s="1"/>
  <c r="C1028" s="1"/>
  <c r="C1029" s="1"/>
  <c r="C1030" s="1"/>
  <c r="C1031" s="1"/>
  <c r="C1032" s="1"/>
  <c r="C1033" s="1"/>
  <c r="C1034" s="1"/>
  <c r="C1035" s="1"/>
  <c r="C1036" s="1"/>
  <c r="C1037" s="1"/>
  <c r="C1081"/>
  <c r="C1082" s="1"/>
  <c r="C1098"/>
  <c r="C1130"/>
  <c r="C1131" s="1"/>
  <c r="C1132" s="1"/>
  <c r="C1133" s="1"/>
  <c r="C1134" s="1"/>
  <c r="C1135" s="1"/>
  <c r="C1136" s="1"/>
  <c r="C1137" s="1"/>
  <c r="C1138" s="1"/>
  <c r="C1139" s="1"/>
  <c r="C1140" s="1"/>
  <c r="C1141" s="1"/>
  <c r="C1142" s="1"/>
  <c r="C1143" s="1"/>
  <c r="C1144" s="1"/>
  <c r="C1157"/>
  <c r="C1158" s="1"/>
  <c r="C1159" s="1"/>
  <c r="C1160" s="1"/>
  <c r="C1161" s="1"/>
  <c r="C1162" s="1"/>
  <c r="C1163" s="1"/>
  <c r="C1164" s="1"/>
  <c r="C1165" s="1"/>
  <c r="C1166" s="1"/>
  <c r="C1167" s="1"/>
  <c r="C1168" s="1"/>
  <c r="C1172"/>
  <c r="C1173" s="1"/>
  <c r="C1174" s="1"/>
  <c r="C1175" s="1"/>
  <c r="C1176" s="1"/>
  <c r="C1177" s="1"/>
  <c r="C1178" s="1"/>
  <c r="C1179" s="1"/>
  <c r="C1180" s="1"/>
  <c r="C1181" s="1"/>
  <c r="C1182" s="1"/>
  <c r="C1183" s="1"/>
  <c r="C1184" s="1"/>
  <c r="C1194"/>
  <c r="C1195" s="1"/>
  <c r="C1196" s="1"/>
  <c r="C1197" s="1"/>
  <c r="C1198" s="1"/>
  <c r="C1199" s="1"/>
  <c r="C1200" s="1"/>
  <c r="C1201" s="1"/>
  <c r="C1202" s="1"/>
  <c r="C1203" s="1"/>
  <c r="C1207"/>
  <c r="C1208" s="1"/>
  <c r="C1223"/>
  <c r="C1224" s="1"/>
  <c r="C1225" s="1"/>
  <c r="C1226" s="1"/>
  <c r="C1227" s="1"/>
  <c r="C1228" s="1"/>
  <c r="C1229" s="1"/>
  <c r="C1230" s="1"/>
  <c r="C1231" s="1"/>
  <c r="C1232" s="1"/>
  <c r="C1235"/>
  <c r="C1236" s="1"/>
  <c r="C1237" s="1"/>
  <c r="C1248"/>
  <c r="C1250"/>
  <c r="C1251" s="1"/>
  <c r="C1252" s="1"/>
  <c r="C1253" s="1"/>
  <c r="C1254" s="1"/>
  <c r="C1255" s="1"/>
  <c r="C1256" s="1"/>
  <c r="C1257" s="1"/>
  <c r="C1258" s="1"/>
  <c r="C1259" s="1"/>
  <c r="C1260" s="1"/>
  <c r="C1261" s="1"/>
  <c r="C1262" s="1"/>
  <c r="C1265"/>
  <c r="C1266" s="1"/>
  <c r="C1267" s="1"/>
  <c r="C1268" s="1"/>
  <c r="C1269" s="1"/>
  <c r="C1270" s="1"/>
  <c r="C1271" s="1"/>
  <c r="C1272" s="1"/>
  <c r="C1273" s="1"/>
  <c r="C1274" s="1"/>
  <c r="J759"/>
  <c r="J757"/>
  <c r="G759"/>
  <c r="F759"/>
  <c r="F757"/>
  <c r="BO55" i="17" l="1"/>
  <c r="BA55"/>
  <c r="K57"/>
  <c r="BA56"/>
  <c r="SU54"/>
  <c r="JQ55"/>
  <c r="JQ57"/>
  <c r="JQ54"/>
  <c r="JQ56"/>
  <c r="SU55"/>
  <c r="SU56"/>
  <c r="SU57"/>
  <c r="BO54"/>
  <c r="BA54"/>
  <c r="BO56"/>
  <c r="BO57"/>
  <c r="KE56"/>
  <c r="KE55"/>
  <c r="KE57"/>
  <c r="KE54"/>
  <c r="FW55"/>
  <c r="FW57"/>
  <c r="FW56"/>
  <c r="KS57"/>
  <c r="KS56"/>
  <c r="KS55"/>
  <c r="CC57"/>
  <c r="CC56"/>
  <c r="CC54"/>
  <c r="CC55"/>
  <c r="GK56"/>
  <c r="GK54"/>
  <c r="GK55"/>
  <c r="OM56"/>
  <c r="OM57"/>
  <c r="OM55"/>
  <c r="OM54"/>
  <c r="FI56"/>
  <c r="FI54"/>
  <c r="CQ57"/>
  <c r="CQ56"/>
  <c r="CQ54"/>
  <c r="GY57"/>
  <c r="GY54"/>
  <c r="LU57"/>
  <c r="LU54"/>
  <c r="QC57"/>
  <c r="QC54"/>
  <c r="DE57"/>
  <c r="DE54"/>
  <c r="DE55"/>
  <c r="HM57"/>
  <c r="HM54"/>
  <c r="MI57"/>
  <c r="MI54"/>
  <c r="QQ57"/>
  <c r="QQ54"/>
  <c r="IA57"/>
  <c r="DS55"/>
  <c r="MW55"/>
  <c r="MW57"/>
  <c r="EG56"/>
  <c r="EG55"/>
  <c r="IO56"/>
  <c r="IO55"/>
  <c r="EU54"/>
  <c r="EU56"/>
  <c r="JC54"/>
  <c r="JC56"/>
  <c r="JC55"/>
  <c r="NY55"/>
  <c r="NY54"/>
  <c r="NY56"/>
  <c r="SG54"/>
  <c r="SG56"/>
  <c r="SG55"/>
  <c r="NK56"/>
  <c r="RS56"/>
  <c r="RS55"/>
  <c r="PA55"/>
  <c r="PA57"/>
  <c r="PA56"/>
  <c r="LG56"/>
  <c r="LG54"/>
  <c r="PO56"/>
  <c r="PO54"/>
  <c r="RE57"/>
  <c r="FW54"/>
  <c r="KS54"/>
  <c r="PA54"/>
  <c r="CQ55"/>
  <c r="GY55"/>
  <c r="LU55"/>
  <c r="QC55"/>
  <c r="HM55"/>
  <c r="MI55"/>
  <c r="QQ55"/>
  <c r="FI57"/>
  <c r="IA55"/>
  <c r="RE55"/>
  <c r="NK55"/>
  <c r="GK57"/>
  <c r="DS54"/>
  <c r="IA54"/>
  <c r="MW54"/>
  <c r="RE54"/>
  <c r="EU55"/>
  <c r="EG54"/>
  <c r="IO54"/>
  <c r="NK54"/>
  <c r="RS54"/>
  <c r="FI55"/>
  <c r="GY56"/>
  <c r="LU56"/>
  <c r="QC56"/>
  <c r="DS57"/>
  <c r="LG57"/>
  <c r="PO57"/>
  <c r="PO55"/>
  <c r="DS56"/>
  <c r="IA56"/>
  <c r="MW56"/>
  <c r="RE56"/>
  <c r="EU57"/>
  <c r="IO57"/>
  <c r="NK57"/>
  <c r="RS57"/>
  <c r="LG55"/>
  <c r="DE56"/>
  <c r="HM56"/>
  <c r="MI56"/>
  <c r="QQ56"/>
  <c r="EG57"/>
  <c r="JC57"/>
  <c r="NY57"/>
  <c r="SG57"/>
  <c r="BA57"/>
  <c r="R1271" i="6"/>
  <c r="R1268"/>
  <c r="C171"/>
  <c r="C712"/>
  <c r="C669"/>
  <c r="C296"/>
  <c r="C982"/>
  <c r="C500"/>
  <c r="C223"/>
  <c r="C862"/>
  <c r="C460"/>
  <c r="C417"/>
  <c r="C1209"/>
  <c r="C1210" s="1"/>
  <c r="C1211" s="1"/>
  <c r="C1212" s="1"/>
  <c r="C1213" s="1"/>
  <c r="C1214" s="1"/>
  <c r="C1215" s="1"/>
  <c r="C1216" s="1"/>
  <c r="C1217" s="1"/>
  <c r="C825"/>
  <c r="C826" s="1"/>
  <c r="C827" s="1"/>
  <c r="C828" s="1"/>
  <c r="C829" s="1"/>
  <c r="C830" s="1"/>
  <c r="C831" s="1"/>
  <c r="C832" s="1"/>
  <c r="C833" s="1"/>
  <c r="C834" s="1"/>
  <c r="C835" s="1"/>
  <c r="C836" s="1"/>
  <c r="C837" s="1"/>
  <c r="C610"/>
  <c r="C1083"/>
  <c r="C909"/>
  <c r="C743"/>
  <c r="C374"/>
  <c r="C1238"/>
  <c r="C1239" s="1"/>
  <c r="C1240" s="1"/>
  <c r="C1241" s="1"/>
  <c r="C1242" s="1"/>
  <c r="C1243" s="1"/>
  <c r="C1244" s="1"/>
  <c r="C1245" s="1"/>
  <c r="C602"/>
  <c r="C351"/>
  <c r="J1275"/>
  <c r="C172" l="1"/>
  <c r="C910"/>
  <c r="C863"/>
  <c r="C983"/>
  <c r="C1084"/>
  <c r="C297"/>
  <c r="C224"/>
  <c r="C501"/>
  <c r="C375"/>
  <c r="C418"/>
  <c r="C670"/>
  <c r="C611"/>
  <c r="C461"/>
  <c r="C352"/>
  <c r="C744"/>
  <c r="C713"/>
  <c r="C173" l="1"/>
  <c r="C612"/>
  <c r="C1085"/>
  <c r="C376"/>
  <c r="C671"/>
  <c r="C502"/>
  <c r="C984"/>
  <c r="C745"/>
  <c r="C864"/>
  <c r="C353"/>
  <c r="C419"/>
  <c r="C225"/>
  <c r="C714"/>
  <c r="C462"/>
  <c r="C298"/>
  <c r="C911"/>
  <c r="C174" l="1"/>
  <c r="C420"/>
  <c r="C985"/>
  <c r="C746"/>
  <c r="C463"/>
  <c r="C1086"/>
  <c r="C354"/>
  <c r="C503"/>
  <c r="C715"/>
  <c r="C672"/>
  <c r="C613"/>
  <c r="C299"/>
  <c r="C226"/>
  <c r="C377"/>
  <c r="C912"/>
  <c r="C865"/>
  <c r="C175" l="1"/>
  <c r="C913"/>
  <c r="C614"/>
  <c r="C378"/>
  <c r="C673"/>
  <c r="C1087"/>
  <c r="C986"/>
  <c r="C716"/>
  <c r="C227"/>
  <c r="C421"/>
  <c r="C355"/>
  <c r="C866"/>
  <c r="C300"/>
  <c r="C747"/>
  <c r="C176" l="1"/>
  <c r="C356"/>
  <c r="C987"/>
  <c r="C748"/>
  <c r="C422"/>
  <c r="C1088"/>
  <c r="C615"/>
  <c r="C717"/>
  <c r="C867"/>
  <c r="C301"/>
  <c r="C228"/>
  <c r="C674"/>
  <c r="C914"/>
  <c r="C177" l="1"/>
  <c r="C229"/>
  <c r="C616"/>
  <c r="C302"/>
  <c r="C1089"/>
  <c r="C988"/>
  <c r="C915"/>
  <c r="C868"/>
  <c r="C423"/>
  <c r="C357"/>
  <c r="C718"/>
  <c r="C675"/>
  <c r="C749"/>
  <c r="C178" l="1"/>
  <c r="C676"/>
  <c r="C869"/>
  <c r="C303"/>
  <c r="C719"/>
  <c r="C916"/>
  <c r="C989"/>
  <c r="C617"/>
  <c r="C750"/>
  <c r="C424"/>
  <c r="C1090"/>
  <c r="C230"/>
  <c r="C179" l="1"/>
  <c r="C1091"/>
  <c r="C990"/>
  <c r="C720"/>
  <c r="C425"/>
  <c r="C304"/>
  <c r="C751"/>
  <c r="C917"/>
  <c r="C870"/>
  <c r="C231"/>
  <c r="C677"/>
  <c r="C180" l="1"/>
  <c r="C426"/>
  <c r="C678"/>
  <c r="C918"/>
  <c r="C721"/>
  <c r="C752"/>
  <c r="C991"/>
  <c r="C305"/>
  <c r="C232"/>
  <c r="C1092"/>
  <c r="C181" l="1"/>
  <c r="C722"/>
  <c r="C992"/>
  <c r="C306"/>
  <c r="C1093"/>
  <c r="C753"/>
  <c r="C233"/>
  <c r="C427"/>
  <c r="C182" l="1"/>
  <c r="C1094"/>
  <c r="C428"/>
  <c r="C307"/>
  <c r="C234"/>
  <c r="C723"/>
  <c r="C754"/>
  <c r="C183" l="1"/>
  <c r="C235"/>
  <c r="C308"/>
  <c r="C755"/>
  <c r="C429"/>
  <c r="C724"/>
  <c r="C184" l="1"/>
  <c r="C756"/>
  <c r="C309"/>
  <c r="C236"/>
  <c r="C237" l="1"/>
  <c r="C310"/>
  <c r="C311" l="1"/>
  <c r="C312" l="1"/>
  <c r="C313" l="1"/>
  <c r="C314" l="1"/>
  <c r="C315" l="1"/>
  <c r="C316" l="1"/>
  <c r="M1019" l="1"/>
  <c r="M1020"/>
  <c r="M1021"/>
  <c r="M1022"/>
  <c r="M1023"/>
  <c r="M1024"/>
  <c r="M1025"/>
  <c r="M1026"/>
  <c r="M1027"/>
  <c r="M1028"/>
  <c r="M1029"/>
  <c r="M1030"/>
  <c r="M1031"/>
  <c r="M1032"/>
  <c r="M1033"/>
  <c r="M1034"/>
  <c r="M1035"/>
  <c r="M1036"/>
  <c r="M1037"/>
  <c r="M1248"/>
  <c r="M1250"/>
  <c r="M1251"/>
  <c r="M1252"/>
  <c r="M1253"/>
  <c r="M1254"/>
  <c r="M1255"/>
  <c r="M1256"/>
  <c r="M1257"/>
  <c r="M1258"/>
  <c r="M1259"/>
  <c r="M1260"/>
  <c r="M1261"/>
  <c r="M1262"/>
  <c r="M1235"/>
  <c r="M1236"/>
  <c r="M1237"/>
  <c r="M1238"/>
  <c r="M1239"/>
  <c r="M1240"/>
  <c r="M1241"/>
  <c r="M1242"/>
  <c r="M1243"/>
  <c r="M1244"/>
  <c r="M1245"/>
  <c r="M1223"/>
  <c r="M1224"/>
  <c r="M1225"/>
  <c r="M1226"/>
  <c r="M1227"/>
  <c r="M1228"/>
  <c r="M1229"/>
  <c r="M1230"/>
  <c r="M1231"/>
  <c r="M1232"/>
  <c r="M1207"/>
  <c r="M1208"/>
  <c r="M1209"/>
  <c r="M1210"/>
  <c r="M1211"/>
  <c r="M1212"/>
  <c r="M1213"/>
  <c r="M1214"/>
  <c r="M1215"/>
  <c r="M1216"/>
  <c r="M1217"/>
  <c r="M1194"/>
  <c r="M1195"/>
  <c r="M1196"/>
  <c r="M1197"/>
  <c r="M1198"/>
  <c r="M1199"/>
  <c r="M1200"/>
  <c r="M1201"/>
  <c r="M1202"/>
  <c r="M1203"/>
  <c r="M1172"/>
  <c r="M1173"/>
  <c r="M1174"/>
  <c r="M1175"/>
  <c r="M1176"/>
  <c r="M1177"/>
  <c r="M1178"/>
  <c r="M1179"/>
  <c r="M1180"/>
  <c r="M1181"/>
  <c r="M1182"/>
  <c r="M1183"/>
  <c r="M1184"/>
  <c r="M1157"/>
  <c r="M1158"/>
  <c r="M1159"/>
  <c r="M1160"/>
  <c r="M1161"/>
  <c r="M1162"/>
  <c r="M1163"/>
  <c r="M1164"/>
  <c r="M1165"/>
  <c r="M1166"/>
  <c r="M1167"/>
  <c r="M1168"/>
  <c r="M1130"/>
  <c r="M1131"/>
  <c r="M1132"/>
  <c r="M1133"/>
  <c r="M1134"/>
  <c r="M1135"/>
  <c r="M1136"/>
  <c r="M1137"/>
  <c r="M1138"/>
  <c r="M1139"/>
  <c r="M1140"/>
  <c r="M1141"/>
  <c r="M1142"/>
  <c r="M1143"/>
  <c r="M1144"/>
  <c r="M1098"/>
  <c r="M1103"/>
  <c r="M1104"/>
  <c r="M1105"/>
  <c r="M1106"/>
  <c r="M1107"/>
  <c r="M1108"/>
  <c r="M1109"/>
  <c r="M1110"/>
  <c r="M1111"/>
  <c r="M1112"/>
  <c r="M1113"/>
  <c r="M1114"/>
  <c r="M1115"/>
  <c r="M1116"/>
  <c r="M1117"/>
  <c r="M1118"/>
  <c r="M1081"/>
  <c r="M1082"/>
  <c r="M1083"/>
  <c r="M1084"/>
  <c r="M1085"/>
  <c r="M1086"/>
  <c r="M1087"/>
  <c r="M1088"/>
  <c r="M1089"/>
  <c r="M1090"/>
  <c r="M1091"/>
  <c r="M1092"/>
  <c r="M1093"/>
  <c r="M1094"/>
  <c r="M980"/>
  <c r="M981"/>
  <c r="M982"/>
  <c r="M983"/>
  <c r="M984"/>
  <c r="M985"/>
  <c r="M986"/>
  <c r="M987"/>
  <c r="M988"/>
  <c r="M989"/>
  <c r="M990"/>
  <c r="M991"/>
  <c r="M992"/>
  <c r="M942"/>
  <c r="M943"/>
  <c r="M944"/>
  <c r="M945"/>
  <c r="M946"/>
  <c r="M947"/>
  <c r="M948"/>
  <c r="M949"/>
  <c r="M950"/>
  <c r="M951"/>
  <c r="M952"/>
  <c r="M907"/>
  <c r="M908"/>
  <c r="M909"/>
  <c r="M910"/>
  <c r="M911"/>
  <c r="M912"/>
  <c r="M913"/>
  <c r="M914"/>
  <c r="M915"/>
  <c r="M916"/>
  <c r="M917"/>
  <c r="M918"/>
  <c r="M884"/>
  <c r="M885"/>
  <c r="M886"/>
  <c r="M887"/>
  <c r="M888"/>
  <c r="M889"/>
  <c r="M890"/>
  <c r="M891"/>
  <c r="M892"/>
  <c r="M893"/>
  <c r="M894"/>
  <c r="M895"/>
  <c r="M896"/>
  <c r="M857"/>
  <c r="M858"/>
  <c r="M859"/>
  <c r="M860"/>
  <c r="M861"/>
  <c r="M862"/>
  <c r="M863"/>
  <c r="M864"/>
  <c r="M865"/>
  <c r="M866"/>
  <c r="M867"/>
  <c r="M868"/>
  <c r="M869"/>
  <c r="M870"/>
  <c r="M823"/>
  <c r="M824"/>
  <c r="M825"/>
  <c r="M826"/>
  <c r="M827"/>
  <c r="M828"/>
  <c r="M829"/>
  <c r="M830"/>
  <c r="M831"/>
  <c r="M832"/>
  <c r="M833"/>
  <c r="M834"/>
  <c r="M835"/>
  <c r="M836"/>
  <c r="M837"/>
  <c r="M740"/>
  <c r="M741"/>
  <c r="M742"/>
  <c r="M743"/>
  <c r="M744"/>
  <c r="M745"/>
  <c r="M746"/>
  <c r="M747"/>
  <c r="M748"/>
  <c r="M749"/>
  <c r="M750"/>
  <c r="M751"/>
  <c r="M752"/>
  <c r="M753"/>
  <c r="M754"/>
  <c r="M755"/>
  <c r="M756"/>
  <c r="M710"/>
  <c r="M711"/>
  <c r="M712"/>
  <c r="M713"/>
  <c r="M714"/>
  <c r="M715"/>
  <c r="M716"/>
  <c r="M717"/>
  <c r="M718"/>
  <c r="M719"/>
  <c r="M720"/>
  <c r="M721"/>
  <c r="M722"/>
  <c r="M723"/>
  <c r="M724"/>
  <c r="M667"/>
  <c r="M668"/>
  <c r="M669"/>
  <c r="M670"/>
  <c r="M671"/>
  <c r="M672"/>
  <c r="M673"/>
  <c r="M674"/>
  <c r="M675"/>
  <c r="M676"/>
  <c r="M677"/>
  <c r="M678"/>
  <c r="M640"/>
  <c r="M641"/>
  <c r="M642"/>
  <c r="M643"/>
  <c r="M644"/>
  <c r="M645"/>
  <c r="M646"/>
  <c r="M647"/>
  <c r="M648"/>
  <c r="M649"/>
  <c r="M650"/>
  <c r="M651"/>
  <c r="M652"/>
  <c r="M653"/>
  <c r="M586"/>
  <c r="M587"/>
  <c r="M591"/>
  <c r="M593"/>
  <c r="M596"/>
  <c r="M599"/>
  <c r="M600"/>
  <c r="M601"/>
  <c r="M602"/>
  <c r="M607"/>
  <c r="M608"/>
  <c r="M609"/>
  <c r="M610"/>
  <c r="M611"/>
  <c r="M612"/>
  <c r="M613"/>
  <c r="M614"/>
  <c r="M615"/>
  <c r="M616"/>
  <c r="M617"/>
  <c r="M506"/>
  <c r="M507"/>
  <c r="M510"/>
  <c r="M522"/>
  <c r="M525"/>
  <c r="M527"/>
  <c r="M533"/>
  <c r="M539"/>
  <c r="M540"/>
  <c r="M541"/>
  <c r="M544"/>
  <c r="M549"/>
  <c r="M550"/>
  <c r="M552"/>
  <c r="M553"/>
  <c r="M554"/>
  <c r="M558"/>
  <c r="M561"/>
  <c r="M563"/>
  <c r="M567"/>
  <c r="M569"/>
  <c r="M570"/>
  <c r="M571"/>
  <c r="M572"/>
  <c r="M573"/>
  <c r="M574"/>
  <c r="M575"/>
  <c r="M576"/>
  <c r="M577"/>
  <c r="M578"/>
  <c r="M579"/>
  <c r="M580"/>
  <c r="M581"/>
  <c r="M495"/>
  <c r="M496"/>
  <c r="M497"/>
  <c r="M498"/>
  <c r="M499"/>
  <c r="M500"/>
  <c r="M501"/>
  <c r="M502"/>
  <c r="M503"/>
  <c r="M454"/>
  <c r="M455"/>
  <c r="M456"/>
  <c r="M457"/>
  <c r="M458"/>
  <c r="M459"/>
  <c r="M460"/>
  <c r="M461"/>
  <c r="M462"/>
  <c r="M463"/>
  <c r="M413"/>
  <c r="M414"/>
  <c r="M415"/>
  <c r="M416"/>
  <c r="M417"/>
  <c r="M418"/>
  <c r="M419"/>
  <c r="M420"/>
  <c r="M421"/>
  <c r="M422"/>
  <c r="M423"/>
  <c r="M424"/>
  <c r="M425"/>
  <c r="M426"/>
  <c r="M427"/>
  <c r="M428"/>
  <c r="M429"/>
  <c r="M372"/>
  <c r="M373"/>
  <c r="M374"/>
  <c r="M375"/>
  <c r="M376"/>
  <c r="M377"/>
  <c r="M378"/>
  <c r="M345"/>
  <c r="M346"/>
  <c r="M347"/>
  <c r="M348"/>
  <c r="M349"/>
  <c r="M350"/>
  <c r="M351"/>
  <c r="M352"/>
  <c r="M353"/>
  <c r="M354"/>
  <c r="M355"/>
  <c r="M356"/>
  <c r="M357"/>
  <c r="M292"/>
  <c r="M293"/>
  <c r="M294"/>
  <c r="M295"/>
  <c r="M296"/>
  <c r="M297"/>
  <c r="M298"/>
  <c r="M299"/>
  <c r="M300"/>
  <c r="M301"/>
  <c r="M302"/>
  <c r="M303"/>
  <c r="M304"/>
  <c r="M305"/>
  <c r="M306"/>
  <c r="M307"/>
  <c r="M308"/>
  <c r="M309"/>
  <c r="M310"/>
  <c r="M311"/>
  <c r="M312"/>
  <c r="M313"/>
  <c r="M314"/>
  <c r="M315"/>
  <c r="M316"/>
  <c r="M203"/>
  <c r="M208"/>
  <c r="M219"/>
  <c r="M220"/>
  <c r="M221"/>
  <c r="M222"/>
  <c r="M223"/>
  <c r="M224"/>
  <c r="M225"/>
  <c r="M226"/>
  <c r="M227"/>
  <c r="M228"/>
  <c r="M229"/>
  <c r="M230"/>
  <c r="M231"/>
  <c r="M232"/>
  <c r="M233"/>
  <c r="M234"/>
  <c r="M235"/>
  <c r="M236"/>
  <c r="M237"/>
  <c r="M168"/>
  <c r="M169"/>
  <c r="M170"/>
  <c r="M171"/>
  <c r="M172"/>
  <c r="M173"/>
  <c r="M174"/>
  <c r="M175"/>
  <c r="M176"/>
  <c r="M177"/>
  <c r="M178"/>
  <c r="M179"/>
  <c r="M180"/>
  <c r="M181"/>
  <c r="M182"/>
  <c r="M183"/>
  <c r="M184"/>
  <c r="M123"/>
  <c r="M124"/>
  <c r="M125"/>
  <c r="M126"/>
  <c r="M127"/>
  <c r="M128"/>
  <c r="M129"/>
  <c r="M130"/>
  <c r="M131"/>
  <c r="M132"/>
  <c r="M133"/>
  <c r="M134"/>
  <c r="M135"/>
  <c r="M136"/>
  <c r="M137"/>
  <c r="M138"/>
  <c r="M139"/>
  <c r="M140"/>
  <c r="M141"/>
  <c r="M142"/>
  <c r="M143"/>
  <c r="M69"/>
  <c r="M70"/>
  <c r="M71"/>
  <c r="M72"/>
  <c r="M73"/>
  <c r="M74"/>
  <c r="M75"/>
  <c r="M76"/>
  <c r="M77"/>
  <c r="M78"/>
  <c r="M79"/>
  <c r="M80"/>
  <c r="M81"/>
  <c r="M82"/>
  <c r="M83"/>
  <c r="M84"/>
  <c r="M85"/>
  <c r="M86"/>
  <c r="M87"/>
  <c r="M88"/>
  <c r="M89"/>
  <c r="M90"/>
  <c r="M91"/>
  <c r="M92"/>
  <c r="M93"/>
  <c r="M94"/>
  <c r="M95"/>
  <c r="M96"/>
  <c r="M97"/>
  <c r="M98"/>
  <c r="M99"/>
  <c r="M100"/>
  <c r="M101"/>
  <c r="M102"/>
  <c r="L69"/>
  <c r="L70"/>
  <c r="L71"/>
  <c r="L72"/>
  <c r="L73"/>
  <c r="L74"/>
  <c r="L75"/>
  <c r="L76"/>
  <c r="L77"/>
  <c r="L78"/>
  <c r="L79"/>
  <c r="L80"/>
  <c r="L81"/>
  <c r="L82"/>
  <c r="L83"/>
  <c r="L84"/>
  <c r="L85"/>
  <c r="L86"/>
  <c r="L87"/>
  <c r="L88"/>
  <c r="L89"/>
  <c r="L90"/>
  <c r="L91"/>
  <c r="L92"/>
  <c r="L93"/>
  <c r="L94"/>
  <c r="L95"/>
  <c r="L96"/>
  <c r="L97"/>
  <c r="L98"/>
  <c r="L99"/>
  <c r="L100"/>
  <c r="L101"/>
  <c r="L102"/>
  <c r="L123"/>
  <c r="L124"/>
  <c r="L125"/>
  <c r="L126"/>
  <c r="L127"/>
  <c r="L128"/>
  <c r="L129"/>
  <c r="L130"/>
  <c r="L131"/>
  <c r="L132"/>
  <c r="L133"/>
  <c r="L134"/>
  <c r="L135"/>
  <c r="L136"/>
  <c r="L137"/>
  <c r="L138"/>
  <c r="L139"/>
  <c r="L140"/>
  <c r="L141"/>
  <c r="L142"/>
  <c r="L143"/>
  <c r="L168"/>
  <c r="L169"/>
  <c r="L170"/>
  <c r="L171"/>
  <c r="L172"/>
  <c r="L173"/>
  <c r="L174"/>
  <c r="L175"/>
  <c r="L176"/>
  <c r="L177"/>
  <c r="L178"/>
  <c r="L179"/>
  <c r="L180"/>
  <c r="L181"/>
  <c r="L182"/>
  <c r="L183"/>
  <c r="L184"/>
  <c r="L203"/>
  <c r="L208"/>
  <c r="L219"/>
  <c r="L220"/>
  <c r="L221"/>
  <c r="L222"/>
  <c r="L223"/>
  <c r="L224"/>
  <c r="L225"/>
  <c r="L226"/>
  <c r="L227"/>
  <c r="L228"/>
  <c r="L229"/>
  <c r="L230"/>
  <c r="L231"/>
  <c r="L232"/>
  <c r="L233"/>
  <c r="L234"/>
  <c r="L235"/>
  <c r="L236"/>
  <c r="L237"/>
  <c r="L292"/>
  <c r="L293"/>
  <c r="L294"/>
  <c r="L295"/>
  <c r="L296"/>
  <c r="L297"/>
  <c r="L298"/>
  <c r="L299"/>
  <c r="L300"/>
  <c r="L301"/>
  <c r="L302"/>
  <c r="L303"/>
  <c r="L304"/>
  <c r="L305"/>
  <c r="L306"/>
  <c r="L307"/>
  <c r="L308"/>
  <c r="L309"/>
  <c r="L310"/>
  <c r="L311"/>
  <c r="L312"/>
  <c r="L313"/>
  <c r="L314"/>
  <c r="L315"/>
  <c r="L316"/>
  <c r="L345"/>
  <c r="L346"/>
  <c r="L347"/>
  <c r="L348"/>
  <c r="L349"/>
  <c r="L350"/>
  <c r="L351"/>
  <c r="L352"/>
  <c r="L353"/>
  <c r="L354"/>
  <c r="L355"/>
  <c r="L356"/>
  <c r="L357"/>
  <c r="L372"/>
  <c r="L373"/>
  <c r="L374"/>
  <c r="L375"/>
  <c r="L376"/>
  <c r="L377"/>
  <c r="L378"/>
  <c r="L413"/>
  <c r="L414"/>
  <c r="L415"/>
  <c r="L416"/>
  <c r="L417"/>
  <c r="L418"/>
  <c r="L419"/>
  <c r="L420"/>
  <c r="L421"/>
  <c r="L422"/>
  <c r="L423"/>
  <c r="L424"/>
  <c r="L425"/>
  <c r="L426"/>
  <c r="L427"/>
  <c r="L428"/>
  <c r="L429"/>
  <c r="L454"/>
  <c r="L455"/>
  <c r="L456"/>
  <c r="L457"/>
  <c r="L458"/>
  <c r="L459"/>
  <c r="L460"/>
  <c r="L461"/>
  <c r="L462"/>
  <c r="L463"/>
  <c r="L495"/>
  <c r="L496"/>
  <c r="L497"/>
  <c r="L498"/>
  <c r="L499"/>
  <c r="L500"/>
  <c r="L501"/>
  <c r="L502"/>
  <c r="L503"/>
  <c r="L506"/>
  <c r="L507"/>
  <c r="L510"/>
  <c r="L522"/>
  <c r="L525"/>
  <c r="L527"/>
  <c r="L533"/>
  <c r="L539"/>
  <c r="L540"/>
  <c r="L541"/>
  <c r="L544"/>
  <c r="L549"/>
  <c r="L550"/>
  <c r="L552"/>
  <c r="L553"/>
  <c r="L554"/>
  <c r="L558"/>
  <c r="L561"/>
  <c r="L563"/>
  <c r="L567"/>
  <c r="L569"/>
  <c r="L570"/>
  <c r="L571"/>
  <c r="L572"/>
  <c r="L573"/>
  <c r="L574"/>
  <c r="L575"/>
  <c r="L576"/>
  <c r="L577"/>
  <c r="L578"/>
  <c r="L579"/>
  <c r="L580"/>
  <c r="L581"/>
  <c r="L586"/>
  <c r="L587"/>
  <c r="L591"/>
  <c r="L593"/>
  <c r="L596"/>
  <c r="L599"/>
  <c r="L600"/>
  <c r="L601"/>
  <c r="L602"/>
  <c r="L607"/>
  <c r="L608"/>
  <c r="L609"/>
  <c r="L610"/>
  <c r="L611"/>
  <c r="L612"/>
  <c r="L613"/>
  <c r="L614"/>
  <c r="L615"/>
  <c r="L616"/>
  <c r="L617"/>
  <c r="L640"/>
  <c r="L641"/>
  <c r="L642"/>
  <c r="L643"/>
  <c r="L644"/>
  <c r="L645"/>
  <c r="L646"/>
  <c r="L647"/>
  <c r="L648"/>
  <c r="L649"/>
  <c r="L650"/>
  <c r="L651"/>
  <c r="L652"/>
  <c r="L653"/>
  <c r="L667"/>
  <c r="L668"/>
  <c r="L669"/>
  <c r="L670"/>
  <c r="L671"/>
  <c r="L672"/>
  <c r="L673"/>
  <c r="L674"/>
  <c r="L675"/>
  <c r="L676"/>
  <c r="L677"/>
  <c r="L678"/>
  <c r="L710"/>
  <c r="L711"/>
  <c r="L712"/>
  <c r="L713"/>
  <c r="L714"/>
  <c r="L715"/>
  <c r="L716"/>
  <c r="L717"/>
  <c r="L718"/>
  <c r="L719"/>
  <c r="L720"/>
  <c r="L721"/>
  <c r="L722"/>
  <c r="L723"/>
  <c r="L724"/>
  <c r="L740"/>
  <c r="L741"/>
  <c r="L742"/>
  <c r="L743"/>
  <c r="L744"/>
  <c r="L745"/>
  <c r="L746"/>
  <c r="L747"/>
  <c r="L748"/>
  <c r="L749"/>
  <c r="L750"/>
  <c r="L751"/>
  <c r="L752"/>
  <c r="L753"/>
  <c r="L754"/>
  <c r="L755"/>
  <c r="L756"/>
  <c r="L823"/>
  <c r="L824"/>
  <c r="L825"/>
  <c r="L826"/>
  <c r="L827"/>
  <c r="L828"/>
  <c r="L829"/>
  <c r="L830"/>
  <c r="L831"/>
  <c r="L832"/>
  <c r="L833"/>
  <c r="L834"/>
  <c r="L835"/>
  <c r="L836"/>
  <c r="L837"/>
  <c r="L857"/>
  <c r="L858"/>
  <c r="L859"/>
  <c r="L860"/>
  <c r="L861"/>
  <c r="L862"/>
  <c r="L863"/>
  <c r="L864"/>
  <c r="L865"/>
  <c r="L866"/>
  <c r="L867"/>
  <c r="L868"/>
  <c r="L869"/>
  <c r="L870"/>
  <c r="L884"/>
  <c r="L885"/>
  <c r="L886"/>
  <c r="L887"/>
  <c r="L888"/>
  <c r="L889"/>
  <c r="L890"/>
  <c r="L891"/>
  <c r="L892"/>
  <c r="L893"/>
  <c r="L894"/>
  <c r="L895"/>
  <c r="L896"/>
  <c r="L907"/>
  <c r="L908"/>
  <c r="L909"/>
  <c r="L910"/>
  <c r="L911"/>
  <c r="L912"/>
  <c r="L913"/>
  <c r="L914"/>
  <c r="L915"/>
  <c r="L916"/>
  <c r="L917"/>
  <c r="L918"/>
  <c r="L942"/>
  <c r="L943"/>
  <c r="L944"/>
  <c r="L945"/>
  <c r="L946"/>
  <c r="L947"/>
  <c r="L948"/>
  <c r="L949"/>
  <c r="L950"/>
  <c r="L951"/>
  <c r="L952"/>
  <c r="L980"/>
  <c r="L981"/>
  <c r="L982"/>
  <c r="L983"/>
  <c r="L984"/>
  <c r="L985"/>
  <c r="L986"/>
  <c r="L987"/>
  <c r="L988"/>
  <c r="L989"/>
  <c r="L990"/>
  <c r="L991"/>
  <c r="L992"/>
  <c r="L1019"/>
  <c r="L1020"/>
  <c r="L1021"/>
  <c r="L1022"/>
  <c r="L1023"/>
  <c r="L1024"/>
  <c r="L1025"/>
  <c r="L1026"/>
  <c r="L1027"/>
  <c r="L1028"/>
  <c r="L1029"/>
  <c r="L1030"/>
  <c r="L1031"/>
  <c r="L1032"/>
  <c r="L1033"/>
  <c r="L1034"/>
  <c r="L1035"/>
  <c r="L1036"/>
  <c r="L1037"/>
  <c r="L1081"/>
  <c r="L1082"/>
  <c r="L1083"/>
  <c r="L1084"/>
  <c r="L1085"/>
  <c r="L1086"/>
  <c r="L1087"/>
  <c r="L1088"/>
  <c r="L1089"/>
  <c r="L1090"/>
  <c r="L1091"/>
  <c r="L1092"/>
  <c r="L1093"/>
  <c r="L1094"/>
  <c r="L1098"/>
  <c r="L1103"/>
  <c r="L1104"/>
  <c r="L1105"/>
  <c r="L1106"/>
  <c r="L1107"/>
  <c r="L1108"/>
  <c r="L1109"/>
  <c r="L1110"/>
  <c r="L1111"/>
  <c r="L1112"/>
  <c r="L1113"/>
  <c r="L1114"/>
  <c r="L1115"/>
  <c r="L1116"/>
  <c r="L1117"/>
  <c r="L1118"/>
  <c r="L1130"/>
  <c r="L1131"/>
  <c r="L1132"/>
  <c r="L1133"/>
  <c r="L1134"/>
  <c r="L1135"/>
  <c r="L1136"/>
  <c r="L1137"/>
  <c r="L1138"/>
  <c r="L1139"/>
  <c r="L1140"/>
  <c r="L1141"/>
  <c r="L1142"/>
  <c r="L1143"/>
  <c r="L1144"/>
  <c r="L1157"/>
  <c r="L1158"/>
  <c r="L1159"/>
  <c r="L1160"/>
  <c r="L1161"/>
  <c r="L1162"/>
  <c r="L1163"/>
  <c r="L1164"/>
  <c r="L1165"/>
  <c r="L1166"/>
  <c r="L1167"/>
  <c r="L1168"/>
  <c r="L1172"/>
  <c r="L1173"/>
  <c r="L1174"/>
  <c r="L1175"/>
  <c r="L1176"/>
  <c r="L1177"/>
  <c r="L1178"/>
  <c r="L1179"/>
  <c r="L1180"/>
  <c r="L1181"/>
  <c r="L1182"/>
  <c r="L1183"/>
  <c r="L1184"/>
  <c r="L1194"/>
  <c r="L1195"/>
  <c r="L1196"/>
  <c r="L1197"/>
  <c r="L1198"/>
  <c r="L1199"/>
  <c r="L1200"/>
  <c r="L1201"/>
  <c r="L1202"/>
  <c r="L1203"/>
  <c r="L1207"/>
  <c r="L1208"/>
  <c r="L1209"/>
  <c r="L1210"/>
  <c r="L1211"/>
  <c r="L1212"/>
  <c r="L1213"/>
  <c r="L1214"/>
  <c r="L1215"/>
  <c r="L1216"/>
  <c r="L1217"/>
  <c r="L1223"/>
  <c r="L1224"/>
  <c r="L1225"/>
  <c r="L1226"/>
  <c r="L1227"/>
  <c r="L1228"/>
  <c r="L1229"/>
  <c r="L1230"/>
  <c r="L1231"/>
  <c r="L1232"/>
  <c r="L1235"/>
  <c r="L1236"/>
  <c r="L1237"/>
  <c r="L1238"/>
  <c r="L1239"/>
  <c r="L1240"/>
  <c r="L1241"/>
  <c r="L1242"/>
  <c r="L1243"/>
  <c r="L1244"/>
  <c r="L1245"/>
  <c r="L1248"/>
  <c r="L1250"/>
  <c r="L1251"/>
  <c r="L1252"/>
  <c r="L1253"/>
  <c r="L1254"/>
  <c r="L1255"/>
  <c r="L1256"/>
  <c r="L1257"/>
  <c r="L1258"/>
  <c r="L1259"/>
  <c r="L1260"/>
  <c r="L1261"/>
  <c r="L1262"/>
  <c r="L1265"/>
  <c r="L1266"/>
  <c r="L1267"/>
  <c r="L1268"/>
  <c r="L1269"/>
  <c r="L1270"/>
  <c r="L1271"/>
  <c r="L1272"/>
  <c r="L1273"/>
  <c r="L1274"/>
  <c r="K2"/>
  <c r="K3"/>
  <c r="K4"/>
  <c r="K5"/>
  <c r="K6"/>
  <c r="K7"/>
  <c r="K8"/>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408"/>
  <c r="K409"/>
  <c r="K410"/>
  <c r="K411"/>
  <c r="K412"/>
  <c r="K413"/>
  <c r="K414"/>
  <c r="K415"/>
  <c r="K416"/>
  <c r="K417"/>
  <c r="K418"/>
  <c r="K419"/>
  <c r="K420"/>
  <c r="K421"/>
  <c r="K422"/>
  <c r="K423"/>
  <c r="K424"/>
  <c r="K425"/>
  <c r="K426"/>
  <c r="K427"/>
  <c r="K428"/>
  <c r="K429"/>
  <c r="K430"/>
  <c r="K431"/>
  <c r="K432"/>
  <c r="K433"/>
  <c r="K434"/>
  <c r="K435"/>
  <c r="K436"/>
  <c r="K437"/>
  <c r="K438"/>
  <c r="K439"/>
  <c r="K440"/>
  <c r="K441"/>
  <c r="K442"/>
  <c r="K443"/>
  <c r="K444"/>
  <c r="K445"/>
  <c r="K446"/>
  <c r="K447"/>
  <c r="K448"/>
  <c r="K449"/>
  <c r="K450"/>
  <c r="K451"/>
  <c r="K452"/>
  <c r="K453"/>
  <c r="K454"/>
  <c r="K455"/>
  <c r="K456"/>
  <c r="K457"/>
  <c r="K458"/>
  <c r="K459"/>
  <c r="K460"/>
  <c r="K461"/>
  <c r="K462"/>
  <c r="K463"/>
  <c r="K464"/>
  <c r="K465"/>
  <c r="K466"/>
  <c r="K467"/>
  <c r="K468"/>
  <c r="K469"/>
  <c r="K470"/>
  <c r="K471"/>
  <c r="K472"/>
  <c r="K473"/>
  <c r="K474"/>
  <c r="K475"/>
  <c r="K476"/>
  <c r="K477"/>
  <c r="K478"/>
  <c r="K479"/>
  <c r="K480"/>
  <c r="K481"/>
  <c r="K482"/>
  <c r="K483"/>
  <c r="K484"/>
  <c r="K485"/>
  <c r="K486"/>
  <c r="K487"/>
  <c r="K488"/>
  <c r="K489"/>
  <c r="K490"/>
  <c r="K491"/>
  <c r="K492"/>
  <c r="K493"/>
  <c r="K494"/>
  <c r="K495"/>
  <c r="K496"/>
  <c r="K497"/>
  <c r="K498"/>
  <c r="K499"/>
  <c r="K500"/>
  <c r="K501"/>
  <c r="K502"/>
  <c r="K503"/>
  <c r="K504"/>
  <c r="K505"/>
  <c r="K506"/>
  <c r="K507"/>
  <c r="K508"/>
  <c r="K509"/>
  <c r="K510"/>
  <c r="K511"/>
  <c r="K512"/>
  <c r="K513"/>
  <c r="K514"/>
  <c r="K515"/>
  <c r="K516"/>
  <c r="K517"/>
  <c r="K518"/>
  <c r="K519"/>
  <c r="K520"/>
  <c r="K521"/>
  <c r="K522"/>
  <c r="K523"/>
  <c r="K524"/>
  <c r="K525"/>
  <c r="K526"/>
  <c r="K527"/>
  <c r="K528"/>
  <c r="K529"/>
  <c r="K530"/>
  <c r="K531"/>
  <c r="K532"/>
  <c r="K533"/>
  <c r="K534"/>
  <c r="K535"/>
  <c r="K536"/>
  <c r="K537"/>
  <c r="K538"/>
  <c r="K539"/>
  <c r="K540"/>
  <c r="K541"/>
  <c r="K542"/>
  <c r="K543"/>
  <c r="K544"/>
  <c r="K545"/>
  <c r="K546"/>
  <c r="K547"/>
  <c r="K548"/>
  <c r="K549"/>
  <c r="K550"/>
  <c r="K551"/>
  <c r="K552"/>
  <c r="K553"/>
  <c r="K554"/>
  <c r="K555"/>
  <c r="K556"/>
  <c r="K557"/>
  <c r="K558"/>
  <c r="K559"/>
  <c r="K560"/>
  <c r="K561"/>
  <c r="K562"/>
  <c r="K563"/>
  <c r="K564"/>
  <c r="K565"/>
  <c r="K566"/>
  <c r="K567"/>
  <c r="K568"/>
  <c r="K569"/>
  <c r="K570"/>
  <c r="K571"/>
  <c r="K572"/>
  <c r="K573"/>
  <c r="K574"/>
  <c r="K575"/>
  <c r="K576"/>
  <c r="K577"/>
  <c r="K578"/>
  <c r="K579"/>
  <c r="K580"/>
  <c r="K581"/>
  <c r="K582"/>
  <c r="K583"/>
  <c r="K584"/>
  <c r="K585"/>
  <c r="K586"/>
  <c r="K587"/>
  <c r="K588"/>
  <c r="K589"/>
  <c r="K590"/>
  <c r="K591"/>
  <c r="K592"/>
  <c r="K593"/>
  <c r="K594"/>
  <c r="K595"/>
  <c r="K596"/>
  <c r="K597"/>
  <c r="K598"/>
  <c r="K599"/>
  <c r="K600"/>
  <c r="K601"/>
  <c r="K602"/>
  <c r="K603"/>
  <c r="K604"/>
  <c r="K605"/>
  <c r="K606"/>
  <c r="K607"/>
  <c r="K608"/>
  <c r="K609"/>
  <c r="K610"/>
  <c r="K611"/>
  <c r="K612"/>
  <c r="K613"/>
  <c r="K614"/>
  <c r="K615"/>
  <c r="K616"/>
  <c r="K617"/>
  <c r="K618"/>
  <c r="K619"/>
  <c r="K620"/>
  <c r="K621"/>
  <c r="K622"/>
  <c r="K623"/>
  <c r="K624"/>
  <c r="K625"/>
  <c r="K626"/>
  <c r="K627"/>
  <c r="K628"/>
  <c r="K629"/>
  <c r="K630"/>
  <c r="K631"/>
  <c r="K632"/>
  <c r="K633"/>
  <c r="K634"/>
  <c r="K635"/>
  <c r="K636"/>
  <c r="K637"/>
  <c r="K638"/>
  <c r="K639"/>
  <c r="K640"/>
  <c r="K641"/>
  <c r="K642"/>
  <c r="K643"/>
  <c r="K644"/>
  <c r="K645"/>
  <c r="K646"/>
  <c r="K647"/>
  <c r="K648"/>
  <c r="K649"/>
  <c r="K650"/>
  <c r="K651"/>
  <c r="K652"/>
  <c r="K653"/>
  <c r="K654"/>
  <c r="K655"/>
  <c r="K656"/>
  <c r="K657"/>
  <c r="K658"/>
  <c r="K659"/>
  <c r="K660"/>
  <c r="K661"/>
  <c r="K662"/>
  <c r="K663"/>
  <c r="K664"/>
  <c r="K665"/>
  <c r="K666"/>
  <c r="K667"/>
  <c r="K668"/>
  <c r="K669"/>
  <c r="K670"/>
  <c r="K671"/>
  <c r="K672"/>
  <c r="K673"/>
  <c r="K674"/>
  <c r="K675"/>
  <c r="K676"/>
  <c r="K677"/>
  <c r="K678"/>
  <c r="K679"/>
  <c r="K680"/>
  <c r="K681"/>
  <c r="K682"/>
  <c r="K683"/>
  <c r="K684"/>
  <c r="K685"/>
  <c r="K686"/>
  <c r="K687"/>
  <c r="K688"/>
  <c r="K689"/>
  <c r="K690"/>
  <c r="K691"/>
  <c r="K692"/>
  <c r="K693"/>
  <c r="K694"/>
  <c r="K695"/>
  <c r="K696"/>
  <c r="K697"/>
  <c r="K698"/>
  <c r="K699"/>
  <c r="K700"/>
  <c r="K701"/>
  <c r="K702"/>
  <c r="K703"/>
  <c r="K704"/>
  <c r="K705"/>
  <c r="K706"/>
  <c r="K707"/>
  <c r="K708"/>
  <c r="K709"/>
  <c r="K710"/>
  <c r="K711"/>
  <c r="K712"/>
  <c r="K713"/>
  <c r="K714"/>
  <c r="K715"/>
  <c r="K716"/>
  <c r="K717"/>
  <c r="K718"/>
  <c r="K719"/>
  <c r="K720"/>
  <c r="K721"/>
  <c r="K722"/>
  <c r="K723"/>
  <c r="K724"/>
  <c r="K725"/>
  <c r="K726"/>
  <c r="K727"/>
  <c r="K728"/>
  <c r="K729"/>
  <c r="K730"/>
  <c r="K731"/>
  <c r="K732"/>
  <c r="K733"/>
  <c r="K734"/>
  <c r="K735"/>
  <c r="K736"/>
  <c r="K737"/>
  <c r="K738"/>
  <c r="K739"/>
  <c r="K740"/>
  <c r="K741"/>
  <c r="K742"/>
  <c r="K743"/>
  <c r="K744"/>
  <c r="K745"/>
  <c r="K746"/>
  <c r="K747"/>
  <c r="K748"/>
  <c r="K749"/>
  <c r="K750"/>
  <c r="K751"/>
  <c r="K752"/>
  <c r="K753"/>
  <c r="K754"/>
  <c r="K755"/>
  <c r="K756"/>
  <c r="K757"/>
  <c r="K758"/>
  <c r="K760"/>
  <c r="K761"/>
  <c r="K762"/>
  <c r="K763"/>
  <c r="K764"/>
  <c r="K765"/>
  <c r="K766"/>
  <c r="K767"/>
  <c r="K768"/>
  <c r="K769"/>
  <c r="K770"/>
  <c r="K771"/>
  <c r="K772"/>
  <c r="K773"/>
  <c r="K774"/>
  <c r="K775"/>
  <c r="K776"/>
  <c r="K777"/>
  <c r="K778"/>
  <c r="K779"/>
  <c r="K780"/>
  <c r="K781"/>
  <c r="K782"/>
  <c r="K783"/>
  <c r="K784"/>
  <c r="K785"/>
  <c r="K786"/>
  <c r="K787"/>
  <c r="K788"/>
  <c r="K789"/>
  <c r="K790"/>
  <c r="K791"/>
  <c r="K792"/>
  <c r="K793"/>
  <c r="K794"/>
  <c r="K795"/>
  <c r="K796"/>
  <c r="K797"/>
  <c r="K798"/>
  <c r="K799"/>
  <c r="K800"/>
  <c r="K801"/>
  <c r="K802"/>
  <c r="K803"/>
  <c r="K804"/>
  <c r="K805"/>
  <c r="K806"/>
  <c r="K807"/>
  <c r="K808"/>
  <c r="K809"/>
  <c r="K810"/>
  <c r="K811"/>
  <c r="K812"/>
  <c r="K813"/>
  <c r="K814"/>
  <c r="K815"/>
  <c r="K816"/>
  <c r="K817"/>
  <c r="K818"/>
  <c r="K819"/>
  <c r="K820"/>
  <c r="K821"/>
  <c r="K822"/>
  <c r="K823"/>
  <c r="K824"/>
  <c r="K825"/>
  <c r="K826"/>
  <c r="K827"/>
  <c r="K828"/>
  <c r="K829"/>
  <c r="K830"/>
  <c r="K831"/>
  <c r="K832"/>
  <c r="K833"/>
  <c r="K834"/>
  <c r="K835"/>
  <c r="K836"/>
  <c r="K837"/>
  <c r="K838"/>
  <c r="K839"/>
  <c r="K840"/>
  <c r="K841"/>
  <c r="K842"/>
  <c r="K843"/>
  <c r="K844"/>
  <c r="K845"/>
  <c r="K846"/>
  <c r="K847"/>
  <c r="K848"/>
  <c r="K849"/>
  <c r="K850"/>
  <c r="K851"/>
  <c r="K852"/>
  <c r="K853"/>
  <c r="K854"/>
  <c r="K855"/>
  <c r="K856"/>
  <c r="K857"/>
  <c r="K858"/>
  <c r="K859"/>
  <c r="K860"/>
  <c r="K861"/>
  <c r="K862"/>
  <c r="K863"/>
  <c r="K864"/>
  <c r="K865"/>
  <c r="K866"/>
  <c r="K867"/>
  <c r="K868"/>
  <c r="K869"/>
  <c r="K870"/>
  <c r="K871"/>
  <c r="K872"/>
  <c r="K873"/>
  <c r="K874"/>
  <c r="K875"/>
  <c r="K876"/>
  <c r="K877"/>
  <c r="K878"/>
  <c r="K879"/>
  <c r="K880"/>
  <c r="K881"/>
  <c r="K882"/>
  <c r="K883"/>
  <c r="K884"/>
  <c r="K885"/>
  <c r="K886"/>
  <c r="K887"/>
  <c r="K888"/>
  <c r="K889"/>
  <c r="K890"/>
  <c r="K891"/>
  <c r="K892"/>
  <c r="K893"/>
  <c r="K894"/>
  <c r="K895"/>
  <c r="K896"/>
  <c r="K897"/>
  <c r="K898"/>
  <c r="K899"/>
  <c r="K900"/>
  <c r="K901"/>
  <c r="K902"/>
  <c r="K903"/>
  <c r="K904"/>
  <c r="K905"/>
  <c r="K906"/>
  <c r="K907"/>
  <c r="K908"/>
  <c r="K909"/>
  <c r="K910"/>
  <c r="K911"/>
  <c r="K912"/>
  <c r="K913"/>
  <c r="K914"/>
  <c r="K915"/>
  <c r="K916"/>
  <c r="K917"/>
  <c r="K918"/>
  <c r="K919"/>
  <c r="K920"/>
  <c r="K921"/>
  <c r="K922"/>
  <c r="K923"/>
  <c r="K924"/>
  <c r="K925"/>
  <c r="K926"/>
  <c r="K927"/>
  <c r="K928"/>
  <c r="K929"/>
  <c r="K930"/>
  <c r="K931"/>
  <c r="K932"/>
  <c r="K933"/>
  <c r="K934"/>
  <c r="K935"/>
  <c r="K936"/>
  <c r="K937"/>
  <c r="K938"/>
  <c r="K939"/>
  <c r="K940"/>
  <c r="K941"/>
  <c r="K942"/>
  <c r="K943"/>
  <c r="K944"/>
  <c r="K945"/>
  <c r="K946"/>
  <c r="K947"/>
  <c r="K948"/>
  <c r="K949"/>
  <c r="K950"/>
  <c r="K951"/>
  <c r="K952"/>
  <c r="K953"/>
  <c r="K954"/>
  <c r="K955"/>
  <c r="K956"/>
  <c r="K957"/>
  <c r="K958"/>
  <c r="K959"/>
  <c r="K960"/>
  <c r="K961"/>
  <c r="K962"/>
  <c r="K963"/>
  <c r="K964"/>
  <c r="K965"/>
  <c r="K966"/>
  <c r="K967"/>
  <c r="K968"/>
  <c r="K969"/>
  <c r="K970"/>
  <c r="K971"/>
  <c r="K972"/>
  <c r="K973"/>
  <c r="K974"/>
  <c r="K975"/>
  <c r="K976"/>
  <c r="K977"/>
  <c r="K978"/>
  <c r="K979"/>
  <c r="K980"/>
  <c r="K981"/>
  <c r="K982"/>
  <c r="K983"/>
  <c r="K984"/>
  <c r="K985"/>
  <c r="K986"/>
  <c r="K987"/>
  <c r="K988"/>
  <c r="K989"/>
  <c r="K990"/>
  <c r="K991"/>
  <c r="K992"/>
  <c r="K993"/>
  <c r="K994"/>
  <c r="K995"/>
  <c r="K996"/>
  <c r="K997"/>
  <c r="K998"/>
  <c r="K999"/>
  <c r="K1000"/>
  <c r="K1001"/>
  <c r="K1002"/>
  <c r="K1003"/>
  <c r="K1004"/>
  <c r="K1005"/>
  <c r="K1006"/>
  <c r="K1007"/>
  <c r="K1008"/>
  <c r="K1009"/>
  <c r="K1010"/>
  <c r="K1011"/>
  <c r="K1012"/>
  <c r="K1013"/>
  <c r="K1014"/>
  <c r="K1015"/>
  <c r="K1016"/>
  <c r="K1017"/>
  <c r="K1018"/>
  <c r="K1019"/>
  <c r="K1020"/>
  <c r="K1021"/>
  <c r="K1022"/>
  <c r="K1023"/>
  <c r="K1024"/>
  <c r="K1025"/>
  <c r="K1026"/>
  <c r="K1027"/>
  <c r="K1028"/>
  <c r="K1029"/>
  <c r="K1030"/>
  <c r="K1031"/>
  <c r="K1032"/>
  <c r="K1033"/>
  <c r="K1034"/>
  <c r="K1035"/>
  <c r="K1036"/>
  <c r="K1037"/>
  <c r="K1038"/>
  <c r="K1039"/>
  <c r="K1040"/>
  <c r="K1041"/>
  <c r="K1042"/>
  <c r="K1043"/>
  <c r="K1044"/>
  <c r="K1045"/>
  <c r="K1046"/>
  <c r="K1047"/>
  <c r="K1048"/>
  <c r="K1049"/>
  <c r="K1050"/>
  <c r="K1051"/>
  <c r="K1052"/>
  <c r="K1053"/>
  <c r="K1054"/>
  <c r="K1055"/>
  <c r="K1056"/>
  <c r="K1057"/>
  <c r="K1058"/>
  <c r="K1059"/>
  <c r="K1060"/>
  <c r="K1061"/>
  <c r="K1062"/>
  <c r="K1063"/>
  <c r="K1064"/>
  <c r="K1065"/>
  <c r="K1066"/>
  <c r="K1067"/>
  <c r="K1068"/>
  <c r="K1069"/>
  <c r="K1070"/>
  <c r="K1071"/>
  <c r="K1072"/>
  <c r="K1073"/>
  <c r="K1074"/>
  <c r="K1075"/>
  <c r="K1076"/>
  <c r="K1077"/>
  <c r="K1078"/>
  <c r="K1079"/>
  <c r="K1080"/>
  <c r="K1081"/>
  <c r="K1082"/>
  <c r="K1083"/>
  <c r="K1084"/>
  <c r="K1085"/>
  <c r="K1086"/>
  <c r="K1087"/>
  <c r="K1088"/>
  <c r="K1089"/>
  <c r="K1090"/>
  <c r="K1091"/>
  <c r="K1092"/>
  <c r="K1093"/>
  <c r="K1094"/>
  <c r="K1095"/>
  <c r="K1096"/>
  <c r="K1097"/>
  <c r="K1098"/>
  <c r="K1099"/>
  <c r="K1100"/>
  <c r="K1101"/>
  <c r="K1102"/>
  <c r="K1103"/>
  <c r="K1104"/>
  <c r="K1105"/>
  <c r="K1106"/>
  <c r="K1107"/>
  <c r="K1108"/>
  <c r="K1109"/>
  <c r="K1110"/>
  <c r="K1111"/>
  <c r="K1112"/>
  <c r="K1113"/>
  <c r="K1114"/>
  <c r="K1115"/>
  <c r="K1116"/>
  <c r="K1117"/>
  <c r="K1118"/>
  <c r="K1119"/>
  <c r="K1120"/>
  <c r="K1121"/>
  <c r="K1122"/>
  <c r="K1123"/>
  <c r="K1124"/>
  <c r="K1125"/>
  <c r="K1126"/>
  <c r="K1127"/>
  <c r="K1128"/>
  <c r="K1129"/>
  <c r="K1130"/>
  <c r="K1131"/>
  <c r="K1132"/>
  <c r="K1133"/>
  <c r="K1134"/>
  <c r="K1135"/>
  <c r="K1136"/>
  <c r="K1137"/>
  <c r="K1138"/>
  <c r="K1139"/>
  <c r="K1140"/>
  <c r="K1141"/>
  <c r="K1142"/>
  <c r="K1143"/>
  <c r="K1144"/>
  <c r="K1145"/>
  <c r="K1146"/>
  <c r="K1147"/>
  <c r="K1148"/>
  <c r="K1149"/>
  <c r="K1150"/>
  <c r="K1151"/>
  <c r="K1152"/>
  <c r="K1153"/>
  <c r="K1154"/>
  <c r="K1155"/>
  <c r="K1156"/>
  <c r="K1157"/>
  <c r="K1158"/>
  <c r="K1159"/>
  <c r="K1160"/>
  <c r="K1161"/>
  <c r="K1162"/>
  <c r="K1163"/>
  <c r="K1164"/>
  <c r="K1165"/>
  <c r="K1166"/>
  <c r="K1167"/>
  <c r="K1168"/>
  <c r="K1169"/>
  <c r="K1170"/>
  <c r="K1171"/>
  <c r="K1172"/>
  <c r="K1173"/>
  <c r="K1174"/>
  <c r="K1175"/>
  <c r="K1176"/>
  <c r="K1177"/>
  <c r="K1178"/>
  <c r="K1179"/>
  <c r="K1180"/>
  <c r="K1181"/>
  <c r="K1182"/>
  <c r="K1183"/>
  <c r="K1184"/>
  <c r="K1185"/>
  <c r="K1186"/>
  <c r="K1187"/>
  <c r="K1188"/>
  <c r="K1189"/>
  <c r="K1190"/>
  <c r="K1191"/>
  <c r="K1192"/>
  <c r="K1193"/>
  <c r="K1194"/>
  <c r="K1195"/>
  <c r="K1196"/>
  <c r="K1197"/>
  <c r="K1198"/>
  <c r="K1199"/>
  <c r="K1200"/>
  <c r="K1201"/>
  <c r="K1202"/>
  <c r="K1203"/>
  <c r="K1204"/>
  <c r="K1205"/>
  <c r="K1206"/>
  <c r="K1207"/>
  <c r="K1208"/>
  <c r="K1209"/>
  <c r="K1210"/>
  <c r="K1211"/>
  <c r="K1212"/>
  <c r="K1213"/>
  <c r="K1214"/>
  <c r="K1215"/>
  <c r="K1216"/>
  <c r="K1217"/>
  <c r="K1218"/>
  <c r="K1219"/>
  <c r="K1220"/>
  <c r="K1221"/>
  <c r="K1222"/>
  <c r="K1223"/>
  <c r="K1224"/>
  <c r="K1225"/>
  <c r="K1226"/>
  <c r="K1227"/>
  <c r="K1228"/>
  <c r="K1229"/>
  <c r="K1230"/>
  <c r="K1231"/>
  <c r="K1232"/>
  <c r="K1233"/>
  <c r="K1234"/>
  <c r="K1235"/>
  <c r="K1236"/>
  <c r="K1237"/>
  <c r="K1238"/>
  <c r="K1239"/>
  <c r="K1240"/>
  <c r="K1241"/>
  <c r="K1242"/>
  <c r="K1243"/>
  <c r="K1244"/>
  <c r="K1245"/>
  <c r="K1246"/>
  <c r="K1247"/>
  <c r="K1248"/>
  <c r="K1249"/>
  <c r="K1250"/>
  <c r="K1251"/>
  <c r="K1252"/>
  <c r="K1253"/>
  <c r="K1254"/>
  <c r="K1255"/>
  <c r="K1256"/>
  <c r="K1257"/>
  <c r="K1258"/>
  <c r="K1259"/>
  <c r="K1260"/>
  <c r="K1261"/>
  <c r="K1262"/>
  <c r="K1264"/>
  <c r="K1265"/>
  <c r="K1266"/>
  <c r="K1267"/>
  <c r="K1268"/>
  <c r="K1269"/>
  <c r="K1270"/>
  <c r="K1271"/>
  <c r="K1272"/>
  <c r="K1273"/>
  <c r="K1274"/>
  <c r="H1264"/>
  <c r="H1263" s="1"/>
  <c r="H1249"/>
  <c r="H1206"/>
  <c r="H1205"/>
  <c r="H1171"/>
  <c r="H1170"/>
  <c r="H1080"/>
  <c r="H1079"/>
  <c r="H1078"/>
  <c r="H1077"/>
  <c r="H1075"/>
  <c r="H1074"/>
  <c r="H1070"/>
  <c r="H1067"/>
  <c r="H1063"/>
  <c r="H1059"/>
  <c r="H1058"/>
  <c r="H1050"/>
  <c r="H1048"/>
  <c r="H1046"/>
  <c r="H1041"/>
  <c r="H1040"/>
  <c r="H1039"/>
  <c r="H994"/>
  <c r="H940"/>
  <c r="H929"/>
  <c r="H923"/>
  <c r="H898"/>
  <c r="H878"/>
  <c r="H883"/>
  <c r="H881"/>
  <c r="H877"/>
  <c r="H876"/>
  <c r="H873"/>
  <c r="H872"/>
  <c r="H852"/>
  <c r="H849"/>
  <c r="H847"/>
  <c r="H846"/>
  <c r="H840"/>
  <c r="H839"/>
  <c r="H631"/>
  <c r="H588"/>
  <c r="D598"/>
  <c r="D599"/>
  <c r="D600"/>
  <c r="D601"/>
  <c r="D602"/>
  <c r="D603"/>
  <c r="D604"/>
  <c r="H606"/>
  <c r="H605"/>
  <c r="H603"/>
  <c r="H595"/>
  <c r="D595"/>
  <c r="D596"/>
  <c r="D597"/>
  <c r="D590"/>
  <c r="D591"/>
  <c r="D592"/>
  <c r="D593"/>
  <c r="D594"/>
  <c r="H592"/>
  <c r="H583"/>
  <c r="H566"/>
  <c r="D566"/>
  <c r="D567"/>
  <c r="D568"/>
  <c r="H562"/>
  <c r="D562"/>
  <c r="D563"/>
  <c r="D564"/>
  <c r="D560"/>
  <c r="D561"/>
  <c r="D557"/>
  <c r="D558"/>
  <c r="D559"/>
  <c r="D551"/>
  <c r="D552"/>
  <c r="D553"/>
  <c r="D554"/>
  <c r="D555"/>
  <c r="H551"/>
  <c r="D549"/>
  <c r="D550"/>
  <c r="H548"/>
  <c r="H543"/>
  <c r="H546"/>
  <c r="D548"/>
  <c r="D543"/>
  <c r="D544"/>
  <c r="D545"/>
  <c r="D539"/>
  <c r="D540"/>
  <c r="D541"/>
  <c r="D538"/>
  <c r="H537"/>
  <c r="H536"/>
  <c r="H1204" l="1"/>
  <c r="R102"/>
  <c r="R94"/>
  <c r="R86"/>
  <c r="R78"/>
  <c r="R70"/>
  <c r="R137"/>
  <c r="R129"/>
  <c r="R183"/>
  <c r="R175"/>
  <c r="R237"/>
  <c r="R229"/>
  <c r="R221"/>
  <c r="R313"/>
  <c r="R305"/>
  <c r="R297"/>
  <c r="R355"/>
  <c r="R347"/>
  <c r="R373"/>
  <c r="R423"/>
  <c r="R415"/>
  <c r="R458"/>
  <c r="R500"/>
  <c r="R579"/>
  <c r="R571"/>
  <c r="R553"/>
  <c r="R533"/>
  <c r="R616"/>
  <c r="R608"/>
  <c r="R591"/>
  <c r="R648"/>
  <c r="R640"/>
  <c r="R671"/>
  <c r="R721"/>
  <c r="R713"/>
  <c r="R752"/>
  <c r="R744"/>
  <c r="R834"/>
  <c r="R826"/>
  <c r="R866"/>
  <c r="R858"/>
  <c r="R890"/>
  <c r="R917"/>
  <c r="R909"/>
  <c r="R947"/>
  <c r="R990"/>
  <c r="R982"/>
  <c r="R1089"/>
  <c r="R1081"/>
  <c r="R1111"/>
  <c r="R1103"/>
  <c r="R1138"/>
  <c r="R1130"/>
  <c r="R1161"/>
  <c r="R1181"/>
  <c r="R1173"/>
  <c r="R1197"/>
  <c r="R1213"/>
  <c r="R1231"/>
  <c r="R1223"/>
  <c r="R1238"/>
  <c r="R1258"/>
  <c r="R1250"/>
  <c r="R1031"/>
  <c r="R1023"/>
  <c r="R101"/>
  <c r="R93"/>
  <c r="R85"/>
  <c r="R77"/>
  <c r="R69"/>
  <c r="R136"/>
  <c r="R128"/>
  <c r="R182"/>
  <c r="R174"/>
  <c r="R236"/>
  <c r="R228"/>
  <c r="R220"/>
  <c r="R312"/>
  <c r="R304"/>
  <c r="R296"/>
  <c r="R354"/>
  <c r="R346"/>
  <c r="R372"/>
  <c r="R422"/>
  <c r="R414"/>
  <c r="R457"/>
  <c r="R499"/>
  <c r="R578"/>
  <c r="R570"/>
  <c r="R552"/>
  <c r="R527"/>
  <c r="R615"/>
  <c r="R607"/>
  <c r="R587"/>
  <c r="R647"/>
  <c r="R678"/>
  <c r="R670"/>
  <c r="R720"/>
  <c r="R712"/>
  <c r="R751"/>
  <c r="R743"/>
  <c r="R833"/>
  <c r="R825"/>
  <c r="R865"/>
  <c r="R857"/>
  <c r="R889"/>
  <c r="R916"/>
  <c r="R908"/>
  <c r="R946"/>
  <c r="R989"/>
  <c r="R981"/>
  <c r="R1088"/>
  <c r="R1118"/>
  <c r="R1110"/>
  <c r="R1098"/>
  <c r="R1137"/>
  <c r="R1168"/>
  <c r="R1160"/>
  <c r="R1180"/>
  <c r="R1172"/>
  <c r="R1196"/>
  <c r="R1212"/>
  <c r="R1230"/>
  <c r="R1245"/>
  <c r="R1237"/>
  <c r="R1257"/>
  <c r="R1248"/>
  <c r="R1030"/>
  <c r="R1022"/>
  <c r="R100"/>
  <c r="R92"/>
  <c r="R84"/>
  <c r="R76"/>
  <c r="R143"/>
  <c r="R135"/>
  <c r="R127"/>
  <c r="R181"/>
  <c r="R173"/>
  <c r="R235"/>
  <c r="R227"/>
  <c r="R219"/>
  <c r="R311"/>
  <c r="R303"/>
  <c r="R295"/>
  <c r="R353"/>
  <c r="R345"/>
  <c r="R429"/>
  <c r="R421"/>
  <c r="R413"/>
  <c r="R456"/>
  <c r="R498"/>
  <c r="R577"/>
  <c r="R569"/>
  <c r="R550"/>
  <c r="R525"/>
  <c r="R614"/>
  <c r="R602"/>
  <c r="R586"/>
  <c r="R646"/>
  <c r="R677"/>
  <c r="R669"/>
  <c r="R719"/>
  <c r="R711"/>
  <c r="R750"/>
  <c r="R742"/>
  <c r="R832"/>
  <c r="R824"/>
  <c r="R864"/>
  <c r="R896"/>
  <c r="R888"/>
  <c r="R915"/>
  <c r="R907"/>
  <c r="R945"/>
  <c r="R988"/>
  <c r="R980"/>
  <c r="R1087"/>
  <c r="R1117"/>
  <c r="R1109"/>
  <c r="R1144"/>
  <c r="R1136"/>
  <c r="R1167"/>
  <c r="R1159"/>
  <c r="R1179"/>
  <c r="R1203"/>
  <c r="R1195"/>
  <c r="R1211"/>
  <c r="R1229"/>
  <c r="R1244"/>
  <c r="R1236"/>
  <c r="R1256"/>
  <c r="R1037"/>
  <c r="R1029"/>
  <c r="R1021"/>
  <c r="R99"/>
  <c r="R91"/>
  <c r="R83"/>
  <c r="R75"/>
  <c r="R142"/>
  <c r="R134"/>
  <c r="R126"/>
  <c r="R180"/>
  <c r="R172"/>
  <c r="R234"/>
  <c r="R226"/>
  <c r="R208"/>
  <c r="R310"/>
  <c r="R302"/>
  <c r="R294"/>
  <c r="R352"/>
  <c r="R378"/>
  <c r="R428"/>
  <c r="R420"/>
  <c r="R463"/>
  <c r="R455"/>
  <c r="R497"/>
  <c r="R576"/>
  <c r="R567"/>
  <c r="R549"/>
  <c r="R522"/>
  <c r="R613"/>
  <c r="R601"/>
  <c r="R653"/>
  <c r="R645"/>
  <c r="R676"/>
  <c r="R668"/>
  <c r="R718"/>
  <c r="R710"/>
  <c r="R749"/>
  <c r="R741"/>
  <c r="R831"/>
  <c r="R823"/>
  <c r="R863"/>
  <c r="R895"/>
  <c r="R887"/>
  <c r="R914"/>
  <c r="R952"/>
  <c r="R944"/>
  <c r="R987"/>
  <c r="R1094"/>
  <c r="R1086"/>
  <c r="R1116"/>
  <c r="R1108"/>
  <c r="R1143"/>
  <c r="R1135"/>
  <c r="R1166"/>
  <c r="R1158"/>
  <c r="R1178"/>
  <c r="R1202"/>
  <c r="R1194"/>
  <c r="R1210"/>
  <c r="R1228"/>
  <c r="R1243"/>
  <c r="R1235"/>
  <c r="R1255"/>
  <c r="R1036"/>
  <c r="R1028"/>
  <c r="R1020"/>
  <c r="R98"/>
  <c r="R90"/>
  <c r="R82"/>
  <c r="R74"/>
  <c r="R141"/>
  <c r="R133"/>
  <c r="R125"/>
  <c r="R179"/>
  <c r="R171"/>
  <c r="R233"/>
  <c r="R225"/>
  <c r="R309"/>
  <c r="R301"/>
  <c r="R293"/>
  <c r="R351"/>
  <c r="R377"/>
  <c r="R427"/>
  <c r="R419"/>
  <c r="R462"/>
  <c r="R454"/>
  <c r="R496"/>
  <c r="R575"/>
  <c r="R563"/>
  <c r="R544"/>
  <c r="R510"/>
  <c r="R612"/>
  <c r="R600"/>
  <c r="R652"/>
  <c r="R644"/>
  <c r="R675"/>
  <c r="R667"/>
  <c r="R717"/>
  <c r="R756"/>
  <c r="R748"/>
  <c r="R740"/>
  <c r="R830"/>
  <c r="R870"/>
  <c r="R862"/>
  <c r="R894"/>
  <c r="R886"/>
  <c r="R913"/>
  <c r="R951"/>
  <c r="R943"/>
  <c r="R986"/>
  <c r="R1093"/>
  <c r="R1085"/>
  <c r="R1115"/>
  <c r="R1107"/>
  <c r="R1142"/>
  <c r="R1134"/>
  <c r="R1165"/>
  <c r="R1157"/>
  <c r="R1177"/>
  <c r="R1201"/>
  <c r="R1217"/>
  <c r="R1209"/>
  <c r="R1227"/>
  <c r="R1242"/>
  <c r="R1262"/>
  <c r="R1254"/>
  <c r="R1035"/>
  <c r="R1027"/>
  <c r="R1019"/>
  <c r="R97"/>
  <c r="R89"/>
  <c r="R81"/>
  <c r="R73"/>
  <c r="R140"/>
  <c r="R132"/>
  <c r="R124"/>
  <c r="R178"/>
  <c r="R170"/>
  <c r="R232"/>
  <c r="R224"/>
  <c r="R316"/>
  <c r="R308"/>
  <c r="R300"/>
  <c r="R292"/>
  <c r="R350"/>
  <c r="R376"/>
  <c r="R426"/>
  <c r="R418"/>
  <c r="R461"/>
  <c r="R503"/>
  <c r="R495"/>
  <c r="R574"/>
  <c r="R561"/>
  <c r="R541"/>
  <c r="R507"/>
  <c r="R611"/>
  <c r="R599"/>
  <c r="R651"/>
  <c r="R643"/>
  <c r="R674"/>
  <c r="R724"/>
  <c r="R716"/>
  <c r="R755"/>
  <c r="R747"/>
  <c r="R837"/>
  <c r="R829"/>
  <c r="R869"/>
  <c r="R861"/>
  <c r="R893"/>
  <c r="R885"/>
  <c r="R912"/>
  <c r="R950"/>
  <c r="R942"/>
  <c r="R985"/>
  <c r="R1092"/>
  <c r="R1084"/>
  <c r="R1114"/>
  <c r="R1106"/>
  <c r="R1141"/>
  <c r="R1133"/>
  <c r="R1164"/>
  <c r="R1184"/>
  <c r="R1176"/>
  <c r="R1200"/>
  <c r="R1216"/>
  <c r="R1208"/>
  <c r="R1226"/>
  <c r="R1241"/>
  <c r="R1261"/>
  <c r="R1253"/>
  <c r="R1034"/>
  <c r="R1026"/>
  <c r="R96"/>
  <c r="R88"/>
  <c r="R80"/>
  <c r="R72"/>
  <c r="R139"/>
  <c r="R131"/>
  <c r="R123"/>
  <c r="R177"/>
  <c r="R169"/>
  <c r="R231"/>
  <c r="R223"/>
  <c r="R315"/>
  <c r="R307"/>
  <c r="R299"/>
  <c r="R357"/>
  <c r="R349"/>
  <c r="R375"/>
  <c r="R425"/>
  <c r="R417"/>
  <c r="R460"/>
  <c r="R502"/>
  <c r="R581"/>
  <c r="R573"/>
  <c r="R558"/>
  <c r="R540"/>
  <c r="R506"/>
  <c r="R610"/>
  <c r="R596"/>
  <c r="R650"/>
  <c r="R642"/>
  <c r="R673"/>
  <c r="R723"/>
  <c r="R715"/>
  <c r="R754"/>
  <c r="R746"/>
  <c r="R836"/>
  <c r="R828"/>
  <c r="R868"/>
  <c r="R860"/>
  <c r="R892"/>
  <c r="R884"/>
  <c r="R911"/>
  <c r="R949"/>
  <c r="R992"/>
  <c r="R984"/>
  <c r="R1091"/>
  <c r="R1083"/>
  <c r="R1113"/>
  <c r="R1105"/>
  <c r="R1140"/>
  <c r="R1132"/>
  <c r="R1163"/>
  <c r="R1183"/>
  <c r="R1175"/>
  <c r="R1199"/>
  <c r="R1215"/>
  <c r="R1207"/>
  <c r="R1225"/>
  <c r="R1240"/>
  <c r="R1260"/>
  <c r="R1252"/>
  <c r="R1033"/>
  <c r="R1025"/>
  <c r="R95"/>
  <c r="R87"/>
  <c r="R79"/>
  <c r="R71"/>
  <c r="R138"/>
  <c r="R130"/>
  <c r="R184"/>
  <c r="R176"/>
  <c r="R168"/>
  <c r="R230"/>
  <c r="R222"/>
  <c r="R314"/>
  <c r="R306"/>
  <c r="R298"/>
  <c r="R356"/>
  <c r="R348"/>
  <c r="R374"/>
  <c r="R424"/>
  <c r="R416"/>
  <c r="R459"/>
  <c r="R501"/>
  <c r="R580"/>
  <c r="R572"/>
  <c r="R554"/>
  <c r="R539"/>
  <c r="R617"/>
  <c r="R609"/>
  <c r="R593"/>
  <c r="R649"/>
  <c r="R641"/>
  <c r="R672"/>
  <c r="R722"/>
  <c r="R714"/>
  <c r="R753"/>
  <c r="R745"/>
  <c r="R835"/>
  <c r="R827"/>
  <c r="R867"/>
  <c r="R859"/>
  <c r="R891"/>
  <c r="R918"/>
  <c r="R910"/>
  <c r="R948"/>
  <c r="R991"/>
  <c r="R983"/>
  <c r="R1090"/>
  <c r="R1082"/>
  <c r="R1112"/>
  <c r="R1104"/>
  <c r="R1139"/>
  <c r="R1131"/>
  <c r="R1162"/>
  <c r="R1182"/>
  <c r="R1174"/>
  <c r="R1198"/>
  <c r="R1214"/>
  <c r="R1232"/>
  <c r="R1224"/>
  <c r="R1239"/>
  <c r="R1259"/>
  <c r="R1251"/>
  <c r="R1032"/>
  <c r="R1024"/>
  <c r="H1169"/>
  <c r="L994"/>
  <c r="L1264"/>
  <c r="M1264"/>
  <c r="L537"/>
  <c r="M537"/>
  <c r="L543"/>
  <c r="M543"/>
  <c r="L551"/>
  <c r="M551"/>
  <c r="L562"/>
  <c r="M562"/>
  <c r="L566"/>
  <c r="M566"/>
  <c r="L592"/>
  <c r="M592"/>
  <c r="L603"/>
  <c r="M603"/>
  <c r="L606"/>
  <c r="M606"/>
  <c r="L588"/>
  <c r="M588"/>
  <c r="L839"/>
  <c r="M839"/>
  <c r="L846"/>
  <c r="M846"/>
  <c r="L849"/>
  <c r="M849"/>
  <c r="L872"/>
  <c r="M872"/>
  <c r="L876"/>
  <c r="M876"/>
  <c r="L881"/>
  <c r="M881"/>
  <c r="L878"/>
  <c r="M878"/>
  <c r="L923"/>
  <c r="M923"/>
  <c r="L940"/>
  <c r="M940"/>
  <c r="L1039"/>
  <c r="M1039"/>
  <c r="L1041"/>
  <c r="M1041"/>
  <c r="L1048"/>
  <c r="M1048"/>
  <c r="L1058"/>
  <c r="M1058"/>
  <c r="L1063"/>
  <c r="M1063"/>
  <c r="L1070"/>
  <c r="M1070"/>
  <c r="L1075"/>
  <c r="M1075"/>
  <c r="L1078"/>
  <c r="M1078"/>
  <c r="L1080"/>
  <c r="M1080"/>
  <c r="L1171"/>
  <c r="M1171"/>
  <c r="L1206"/>
  <c r="M1206"/>
  <c r="L536"/>
  <c r="M536"/>
  <c r="L546"/>
  <c r="M546"/>
  <c r="L548"/>
  <c r="M548"/>
  <c r="L583"/>
  <c r="M583"/>
  <c r="L595"/>
  <c r="M595"/>
  <c r="L605"/>
  <c r="M605"/>
  <c r="L631"/>
  <c r="M631"/>
  <c r="L840"/>
  <c r="M840"/>
  <c r="L847"/>
  <c r="M847"/>
  <c r="L852"/>
  <c r="M852"/>
  <c r="L873"/>
  <c r="M873"/>
  <c r="L877"/>
  <c r="M877"/>
  <c r="L883"/>
  <c r="M883"/>
  <c r="L898"/>
  <c r="M898"/>
  <c r="L929"/>
  <c r="M929"/>
  <c r="L1040"/>
  <c r="M1040"/>
  <c r="L1046"/>
  <c r="M1046"/>
  <c r="L1050"/>
  <c r="M1050"/>
  <c r="L1059"/>
  <c r="M1059"/>
  <c r="L1067"/>
  <c r="M1067"/>
  <c r="L1074"/>
  <c r="M1074"/>
  <c r="L1077"/>
  <c r="M1077"/>
  <c r="L1079"/>
  <c r="M1079"/>
  <c r="L1170"/>
  <c r="M1170"/>
  <c r="L1205"/>
  <c r="M1205"/>
  <c r="L1249"/>
  <c r="M1249"/>
  <c r="R1171" l="1"/>
  <c r="R1264"/>
  <c r="R1263" s="1"/>
  <c r="R606"/>
  <c r="R1249"/>
  <c r="R1080"/>
  <c r="R551"/>
  <c r="R548"/>
  <c r="R562"/>
  <c r="R536"/>
  <c r="R592"/>
  <c r="R543"/>
  <c r="R546"/>
  <c r="R605"/>
  <c r="R603"/>
  <c r="R883"/>
  <c r="R595"/>
  <c r="R583"/>
  <c r="R1206"/>
  <c r="R588"/>
  <c r="R566"/>
  <c r="R537"/>
  <c r="M1204"/>
  <c r="M1169"/>
  <c r="H534" l="1"/>
  <c r="D532"/>
  <c r="D533"/>
  <c r="H530"/>
  <c r="H528"/>
  <c r="D526"/>
  <c r="D527"/>
  <c r="D528"/>
  <c r="D524"/>
  <c r="D525"/>
  <c r="H523"/>
  <c r="D522"/>
  <c r="H521"/>
  <c r="H520"/>
  <c r="H519"/>
  <c r="H517"/>
  <c r="H516"/>
  <c r="H514"/>
  <c r="H512"/>
  <c r="D510"/>
  <c r="H509"/>
  <c r="H508"/>
  <c r="D565"/>
  <c r="D556"/>
  <c r="D547"/>
  <c r="D546"/>
  <c r="D542"/>
  <c r="D537"/>
  <c r="D536"/>
  <c r="D535"/>
  <c r="D534"/>
  <c r="D531"/>
  <c r="D530"/>
  <c r="D529"/>
  <c r="D523"/>
  <c r="D521"/>
  <c r="D520"/>
  <c r="D519"/>
  <c r="D518"/>
  <c r="D517"/>
  <c r="D516"/>
  <c r="D515"/>
  <c r="D514"/>
  <c r="D513"/>
  <c r="D512"/>
  <c r="D511"/>
  <c r="D509"/>
  <c r="D508"/>
  <c r="D507"/>
  <c r="D506"/>
  <c r="D505"/>
  <c r="H342"/>
  <c r="H341"/>
  <c r="H340"/>
  <c r="H335"/>
  <c r="H332"/>
  <c r="H330"/>
  <c r="H327"/>
  <c r="H325"/>
  <c r="H323"/>
  <c r="H319"/>
  <c r="H282"/>
  <c r="H277"/>
  <c r="H272"/>
  <c r="H264"/>
  <c r="H263"/>
  <c r="H262"/>
  <c r="H257"/>
  <c r="H255"/>
  <c r="H253"/>
  <c r="H250"/>
  <c r="H245"/>
  <c r="R203"/>
  <c r="D203"/>
  <c r="H186"/>
  <c r="H145"/>
  <c r="H120"/>
  <c r="H118"/>
  <c r="H104"/>
  <c r="H66"/>
  <c r="H63"/>
  <c r="H56"/>
  <c r="H42"/>
  <c r="H35"/>
  <c r="H25"/>
  <c r="H14"/>
  <c r="H12"/>
  <c r="H4"/>
  <c r="H3"/>
  <c r="B454"/>
  <c r="B455" s="1"/>
  <c r="B456" s="1"/>
  <c r="B457" s="1"/>
  <c r="B458" s="1"/>
  <c r="B459" s="1"/>
  <c r="B460" s="1"/>
  <c r="B461" s="1"/>
  <c r="B462" s="1"/>
  <c r="B463" s="1"/>
  <c r="B495"/>
  <c r="B496" s="1"/>
  <c r="B497" s="1"/>
  <c r="B498" s="1"/>
  <c r="B499" s="1"/>
  <c r="B500" s="1"/>
  <c r="B501" s="1"/>
  <c r="B502" s="1"/>
  <c r="B503" s="1"/>
  <c r="B566"/>
  <c r="B568" s="1"/>
  <c r="B569" s="1"/>
  <c r="B570" s="1"/>
  <c r="B571" s="1"/>
  <c r="B607"/>
  <c r="B608" s="1"/>
  <c r="B609" s="1"/>
  <c r="B610" s="1"/>
  <c r="B611" s="1"/>
  <c r="B612" s="1"/>
  <c r="B613" s="1"/>
  <c r="B614" s="1"/>
  <c r="B615" s="1"/>
  <c r="B616" s="1"/>
  <c r="B617" s="1"/>
  <c r="B639"/>
  <c r="B640" s="1"/>
  <c r="B641" s="1"/>
  <c r="B642" s="1"/>
  <c r="B643" s="1"/>
  <c r="B644" s="1"/>
  <c r="B645" s="1"/>
  <c r="B646" s="1"/>
  <c r="B647" s="1"/>
  <c r="B648" s="1"/>
  <c r="B649" s="1"/>
  <c r="B650" s="1"/>
  <c r="B651" s="1"/>
  <c r="B652" s="1"/>
  <c r="B653" s="1"/>
  <c r="B667"/>
  <c r="B668" s="1"/>
  <c r="B669" s="1"/>
  <c r="B670" s="1"/>
  <c r="B671" s="1"/>
  <c r="B672" s="1"/>
  <c r="B673" s="1"/>
  <c r="B674" s="1"/>
  <c r="B675" s="1"/>
  <c r="B676" s="1"/>
  <c r="B677" s="1"/>
  <c r="B678" s="1"/>
  <c r="B710"/>
  <c r="B711" s="1"/>
  <c r="B712" s="1"/>
  <c r="B713" s="1"/>
  <c r="B714" s="1"/>
  <c r="B715" s="1"/>
  <c r="B716" s="1"/>
  <c r="B717" s="1"/>
  <c r="B718" s="1"/>
  <c r="B719" s="1"/>
  <c r="B720" s="1"/>
  <c r="B721" s="1"/>
  <c r="B722" s="1"/>
  <c r="B723" s="1"/>
  <c r="B724" s="1"/>
  <c r="B740"/>
  <c r="B741" s="1"/>
  <c r="B742" s="1"/>
  <c r="B743" s="1"/>
  <c r="B744" s="1"/>
  <c r="B745" s="1"/>
  <c r="B746" s="1"/>
  <c r="B747" s="1"/>
  <c r="B748" s="1"/>
  <c r="B749" s="1"/>
  <c r="B750" s="1"/>
  <c r="B751" s="1"/>
  <c r="B752" s="1"/>
  <c r="B753" s="1"/>
  <c r="B754" s="1"/>
  <c r="B755" s="1"/>
  <c r="B756" s="1"/>
  <c r="B823"/>
  <c r="B824" s="1"/>
  <c r="B825" s="1"/>
  <c r="B826" s="1"/>
  <c r="B827" s="1"/>
  <c r="B828" s="1"/>
  <c r="B829" s="1"/>
  <c r="B830" s="1"/>
  <c r="B831" s="1"/>
  <c r="B832" s="1"/>
  <c r="B833" s="1"/>
  <c r="B834" s="1"/>
  <c r="B835" s="1"/>
  <c r="B836" s="1"/>
  <c r="B837" s="1"/>
  <c r="B857"/>
  <c r="B858" s="1"/>
  <c r="B859" s="1"/>
  <c r="B860" s="1"/>
  <c r="B861" s="1"/>
  <c r="B862" s="1"/>
  <c r="B863" s="1"/>
  <c r="B864" s="1"/>
  <c r="B865" s="1"/>
  <c r="B866" s="1"/>
  <c r="B867" s="1"/>
  <c r="B868" s="1"/>
  <c r="B869" s="1"/>
  <c r="B870" s="1"/>
  <c r="B884"/>
  <c r="B885" s="1"/>
  <c r="B886" s="1"/>
  <c r="B887" s="1"/>
  <c r="B888" s="1"/>
  <c r="B889" s="1"/>
  <c r="B890" s="1"/>
  <c r="B891" s="1"/>
  <c r="B892" s="1"/>
  <c r="B893" s="1"/>
  <c r="B894" s="1"/>
  <c r="B895" s="1"/>
  <c r="B896" s="1"/>
  <c r="B907"/>
  <c r="B908" s="1"/>
  <c r="B909" s="1"/>
  <c r="B910" s="1"/>
  <c r="B911" s="1"/>
  <c r="B912" s="1"/>
  <c r="B913" s="1"/>
  <c r="B914" s="1"/>
  <c r="B915" s="1"/>
  <c r="B916" s="1"/>
  <c r="B917" s="1"/>
  <c r="B918" s="1"/>
  <c r="B942"/>
  <c r="B943" s="1"/>
  <c r="B944" s="1"/>
  <c r="B945" s="1"/>
  <c r="B946" s="1"/>
  <c r="B947" s="1"/>
  <c r="B948" s="1"/>
  <c r="B949" s="1"/>
  <c r="B950" s="1"/>
  <c r="B951" s="1"/>
  <c r="B952" s="1"/>
  <c r="B980"/>
  <c r="B981" s="1"/>
  <c r="B982" s="1"/>
  <c r="B983" s="1"/>
  <c r="B984" s="1"/>
  <c r="B985" s="1"/>
  <c r="B986" s="1"/>
  <c r="B987" s="1"/>
  <c r="B988" s="1"/>
  <c r="B989" s="1"/>
  <c r="B990" s="1"/>
  <c r="B991" s="1"/>
  <c r="B992" s="1"/>
  <c r="B1019"/>
  <c r="B1020" s="1"/>
  <c r="B1021" s="1"/>
  <c r="B1022" s="1"/>
  <c r="B1023" s="1"/>
  <c r="B1024" s="1"/>
  <c r="B1025" s="1"/>
  <c r="B1026" s="1"/>
  <c r="B1027" s="1"/>
  <c r="B1028" s="1"/>
  <c r="B1029" s="1"/>
  <c r="B1030" s="1"/>
  <c r="B1031" s="1"/>
  <c r="B1032" s="1"/>
  <c r="B1033" s="1"/>
  <c r="B1034" s="1"/>
  <c r="B1035" s="1"/>
  <c r="B1036" s="1"/>
  <c r="B1037" s="1"/>
  <c r="B1081"/>
  <c r="B1082" s="1"/>
  <c r="B1083" s="1"/>
  <c r="B1084" s="1"/>
  <c r="B1085" s="1"/>
  <c r="B1086" s="1"/>
  <c r="B1087" s="1"/>
  <c r="B1088" s="1"/>
  <c r="B1089" s="1"/>
  <c r="B1090" s="1"/>
  <c r="B1091" s="1"/>
  <c r="B1092" s="1"/>
  <c r="B1093" s="1"/>
  <c r="B1094" s="1"/>
  <c r="B1102"/>
  <c r="B1103" s="1"/>
  <c r="B1104" s="1"/>
  <c r="B1105" s="1"/>
  <c r="B1106" s="1"/>
  <c r="B1107" s="1"/>
  <c r="B1108" s="1"/>
  <c r="B1109" s="1"/>
  <c r="B1110" s="1"/>
  <c r="B1111" s="1"/>
  <c r="B1112" s="1"/>
  <c r="B1113" s="1"/>
  <c r="B1114" s="1"/>
  <c r="B1115" s="1"/>
  <c r="B1116" s="1"/>
  <c r="B1117" s="1"/>
  <c r="B1118" s="1"/>
  <c r="B1130"/>
  <c r="B1131" s="1"/>
  <c r="B1132" s="1"/>
  <c r="B1133" s="1"/>
  <c r="B1134" s="1"/>
  <c r="B1135" s="1"/>
  <c r="B1136" s="1"/>
  <c r="B1137" s="1"/>
  <c r="B1138" s="1"/>
  <c r="B1139" s="1"/>
  <c r="B1140" s="1"/>
  <c r="B1141" s="1"/>
  <c r="B1142" s="1"/>
  <c r="B1143" s="1"/>
  <c r="B1144" s="1"/>
  <c r="B1157"/>
  <c r="B1158" s="1"/>
  <c r="B1159" s="1"/>
  <c r="B1160" s="1"/>
  <c r="B1161" s="1"/>
  <c r="B1162" s="1"/>
  <c r="B1163" s="1"/>
  <c r="B1164" s="1"/>
  <c r="B1165" s="1"/>
  <c r="B1166" s="1"/>
  <c r="B1167" s="1"/>
  <c r="B1168" s="1"/>
  <c r="B1172"/>
  <c r="B1173" s="1"/>
  <c r="B1174" s="1"/>
  <c r="B1175" s="1"/>
  <c r="B1176" s="1"/>
  <c r="B1177" s="1"/>
  <c r="B1178" s="1"/>
  <c r="B1179" s="1"/>
  <c r="B1180" s="1"/>
  <c r="B1181" s="1"/>
  <c r="B1182" s="1"/>
  <c r="B1183" s="1"/>
  <c r="B1184" s="1"/>
  <c r="B1194"/>
  <c r="B1195" s="1"/>
  <c r="B1196" s="1"/>
  <c r="B1197" s="1"/>
  <c r="B1198" s="1"/>
  <c r="B1199" s="1"/>
  <c r="B1200" s="1"/>
  <c r="B1201" s="1"/>
  <c r="B1202" s="1"/>
  <c r="B1203" s="1"/>
  <c r="B1207"/>
  <c r="B1208" s="1"/>
  <c r="B1209" s="1"/>
  <c r="B1210" s="1"/>
  <c r="B1211" s="1"/>
  <c r="B1212" s="1"/>
  <c r="B1213" s="1"/>
  <c r="B1214" s="1"/>
  <c r="B1215" s="1"/>
  <c r="B1216" s="1"/>
  <c r="B1217" s="1"/>
  <c r="B1223"/>
  <c r="B1224" s="1"/>
  <c r="B1225" s="1"/>
  <c r="B1226" s="1"/>
  <c r="B1227" s="1"/>
  <c r="B1228" s="1"/>
  <c r="B1229" s="1"/>
  <c r="B1230" s="1"/>
  <c r="B1231" s="1"/>
  <c r="B1232" s="1"/>
  <c r="B1235"/>
  <c r="B1236" s="1"/>
  <c r="B1237" s="1"/>
  <c r="B1238" s="1"/>
  <c r="B1239" s="1"/>
  <c r="B1240" s="1"/>
  <c r="B1241" s="1"/>
  <c r="B1242" s="1"/>
  <c r="B1243" s="1"/>
  <c r="B1244" s="1"/>
  <c r="B1245" s="1"/>
  <c r="B1250"/>
  <c r="B1251" s="1"/>
  <c r="B1252" s="1"/>
  <c r="B1253" s="1"/>
  <c r="B1254" s="1"/>
  <c r="B1255" s="1"/>
  <c r="B1256" s="1"/>
  <c r="B1257" s="1"/>
  <c r="B1258" s="1"/>
  <c r="B1259" s="1"/>
  <c r="B1260" s="1"/>
  <c r="B1261" s="1"/>
  <c r="B1262" s="1"/>
  <c r="B1265"/>
  <c r="B1266" s="1"/>
  <c r="B1267" s="1"/>
  <c r="B1268" s="1"/>
  <c r="B1269" s="1"/>
  <c r="B1270" s="1"/>
  <c r="B1271" s="1"/>
  <c r="B1272" s="1"/>
  <c r="B1273" s="1"/>
  <c r="B1274" s="1"/>
  <c r="L4" l="1"/>
  <c r="M4"/>
  <c r="L14"/>
  <c r="M14"/>
  <c r="L35"/>
  <c r="M35"/>
  <c r="L56"/>
  <c r="M56"/>
  <c r="L66"/>
  <c r="M66"/>
  <c r="L118"/>
  <c r="M118"/>
  <c r="L145"/>
  <c r="M145"/>
  <c r="L3"/>
  <c r="M3"/>
  <c r="L12"/>
  <c r="M12"/>
  <c r="L25"/>
  <c r="M25"/>
  <c r="L42"/>
  <c r="M42"/>
  <c r="L63"/>
  <c r="M63"/>
  <c r="L104"/>
  <c r="M104"/>
  <c r="L120"/>
  <c r="M120"/>
  <c r="L186"/>
  <c r="M186"/>
  <c r="L250"/>
  <c r="M250"/>
  <c r="L255"/>
  <c r="M255"/>
  <c r="L262"/>
  <c r="M262"/>
  <c r="L264"/>
  <c r="M264"/>
  <c r="L277"/>
  <c r="M277"/>
  <c r="L319"/>
  <c r="M319"/>
  <c r="L325"/>
  <c r="M325"/>
  <c r="L330"/>
  <c r="M330"/>
  <c r="L335"/>
  <c r="M335"/>
  <c r="L341"/>
  <c r="M341"/>
  <c r="L509"/>
  <c r="M509"/>
  <c r="L512"/>
  <c r="M512"/>
  <c r="L516"/>
  <c r="M516"/>
  <c r="L519"/>
  <c r="M519"/>
  <c r="L521"/>
  <c r="M521"/>
  <c r="L523"/>
  <c r="M523"/>
  <c r="L528"/>
  <c r="M528"/>
  <c r="L534"/>
  <c r="M534"/>
  <c r="L245"/>
  <c r="M245"/>
  <c r="L253"/>
  <c r="M253"/>
  <c r="L257"/>
  <c r="M257"/>
  <c r="L263"/>
  <c r="M263"/>
  <c r="L272"/>
  <c r="M272"/>
  <c r="L282"/>
  <c r="M282"/>
  <c r="L323"/>
  <c r="M323"/>
  <c r="L327"/>
  <c r="M327"/>
  <c r="L332"/>
  <c r="M332"/>
  <c r="L340"/>
  <c r="M340"/>
  <c r="L342"/>
  <c r="M342"/>
  <c r="L508"/>
  <c r="M508"/>
  <c r="L514"/>
  <c r="M514"/>
  <c r="L517"/>
  <c r="M517"/>
  <c r="L520"/>
  <c r="M520"/>
  <c r="L530"/>
  <c r="M530"/>
  <c r="B575"/>
  <c r="B576" s="1"/>
  <c r="B577" s="1"/>
  <c r="B578" s="1"/>
  <c r="B579" s="1"/>
  <c r="B580" s="1"/>
  <c r="B581" s="1"/>
  <c r="K116" i="16"/>
  <c r="H1247" i="6"/>
  <c r="H1246" s="1"/>
  <c r="H1234"/>
  <c r="H1233" s="1"/>
  <c r="V9" i="16"/>
  <c r="AL57" i="17"/>
  <c r="AL56"/>
  <c r="AL55"/>
  <c r="AL54"/>
  <c r="AL53"/>
  <c r="AM53" s="1"/>
  <c r="AI47"/>
  <c r="AI40"/>
  <c r="AG20"/>
  <c r="AG19"/>
  <c r="AG18"/>
  <c r="AG17"/>
  <c r="AG16"/>
  <c r="AG11"/>
  <c r="R512" i="6" l="1"/>
  <c r="R514"/>
  <c r="R521"/>
  <c r="R509"/>
  <c r="R534"/>
  <c r="R519"/>
  <c r="R517"/>
  <c r="R523"/>
  <c r="R530"/>
  <c r="R508"/>
  <c r="R520"/>
  <c r="R528"/>
  <c r="R516"/>
  <c r="L1247"/>
  <c r="M1247"/>
  <c r="L1234"/>
  <c r="M1234"/>
  <c r="AM57" i="17"/>
  <c r="AM54"/>
  <c r="AM56"/>
  <c r="AE71"/>
  <c r="AM55"/>
  <c r="AH8" i="5"/>
  <c r="AI8"/>
  <c r="AH9" s="1"/>
  <c r="F112" i="16"/>
  <c r="F113" s="1"/>
  <c r="F114" s="1"/>
  <c r="F115" s="1"/>
  <c r="F116" s="1"/>
  <c r="F117" s="1"/>
  <c r="F118" s="1"/>
  <c r="F119" s="1"/>
  <c r="F120" s="1"/>
  <c r="F121" s="1"/>
  <c r="F122" s="1"/>
  <c r="F123" s="1"/>
  <c r="F124" s="1"/>
  <c r="F125" s="1"/>
  <c r="F126" s="1"/>
  <c r="F127" s="1"/>
  <c r="F128" s="1"/>
  <c r="F129" s="1"/>
  <c r="F130" s="1"/>
  <c r="F131" s="1"/>
  <c r="F132" s="1"/>
  <c r="F133" s="1"/>
  <c r="F134" s="1"/>
  <c r="F135" s="1"/>
  <c r="F136" s="1"/>
  <c r="F137" s="1"/>
  <c r="F138" s="1"/>
  <c r="F139" s="1"/>
  <c r="F140" s="1"/>
  <c r="F141" s="1"/>
  <c r="F101"/>
  <c r="F102" s="1"/>
  <c r="F103" s="1"/>
  <c r="I99"/>
  <c r="N99" s="1"/>
  <c r="J99"/>
  <c r="O99" s="1"/>
  <c r="V6"/>
  <c r="B133"/>
  <c r="M1233" i="6" l="1"/>
  <c r="R1234"/>
  <c r="R1233" s="1"/>
  <c r="M1246"/>
  <c r="R1247"/>
  <c r="R1246" s="1"/>
  <c r="F104" i="16"/>
  <c r="I103"/>
  <c r="F142"/>
  <c r="F143" s="1"/>
  <c r="AI9" i="5"/>
  <c r="K117" i="16"/>
  <c r="K103"/>
  <c r="TH57" i="17"/>
  <c r="TH56"/>
  <c r="TH55"/>
  <c r="TH54"/>
  <c r="TH53"/>
  <c r="TI53" s="1"/>
  <c r="TE47"/>
  <c r="TE40"/>
  <c r="TC20"/>
  <c r="TC19"/>
  <c r="TC18"/>
  <c r="TC17"/>
  <c r="TC16"/>
  <c r="TC11"/>
  <c r="P13"/>
  <c r="AR13" s="1"/>
  <c r="X57"/>
  <c r="X56"/>
  <c r="X55"/>
  <c r="X54"/>
  <c r="X53"/>
  <c r="Y53" s="1"/>
  <c r="U47"/>
  <c r="U40"/>
  <c r="S20"/>
  <c r="S19"/>
  <c r="S18"/>
  <c r="S17"/>
  <c r="S16"/>
  <c r="S11"/>
  <c r="Q1" i="6"/>
  <c r="Q20" i="17"/>
  <c r="Q19"/>
  <c r="Q18"/>
  <c r="Q17"/>
  <c r="Q16"/>
  <c r="C3" i="16"/>
  <c r="C99" s="1"/>
  <c r="H99" s="1"/>
  <c r="M99" s="1"/>
  <c r="C40" i="15"/>
  <c r="C39"/>
  <c r="C38"/>
  <c r="C37"/>
  <c r="C36"/>
  <c r="C35"/>
  <c r="C34"/>
  <c r="C33"/>
  <c r="C31"/>
  <c r="C32"/>
  <c r="C30"/>
  <c r="C29"/>
  <c r="C28"/>
  <c r="BF13" i="17" l="1"/>
  <c r="AR71"/>
  <c r="AS13"/>
  <c r="AS71" s="1"/>
  <c r="P71"/>
  <c r="Q13"/>
  <c r="Q71" s="1"/>
  <c r="I143" i="16"/>
  <c r="F144"/>
  <c r="I144" s="1"/>
  <c r="F105"/>
  <c r="I104"/>
  <c r="AE16" i="17"/>
  <c r="AS16" s="1"/>
  <c r="BG16" s="1"/>
  <c r="BU16" s="1"/>
  <c r="CI16" s="1"/>
  <c r="CW16" s="1"/>
  <c r="DK16" s="1"/>
  <c r="DY16" s="1"/>
  <c r="EM16" s="1"/>
  <c r="FA16" s="1"/>
  <c r="FO16" s="1"/>
  <c r="GC16" s="1"/>
  <c r="GQ16" s="1"/>
  <c r="HE16" s="1"/>
  <c r="HS16" s="1"/>
  <c r="IG16" s="1"/>
  <c r="IU16" s="1"/>
  <c r="AE18"/>
  <c r="AS18" s="1"/>
  <c r="BG18" s="1"/>
  <c r="BU18" s="1"/>
  <c r="CI18" s="1"/>
  <c r="CW18" s="1"/>
  <c r="DK18" s="1"/>
  <c r="DY18" s="1"/>
  <c r="EM18" s="1"/>
  <c r="FA18" s="1"/>
  <c r="FO18" s="1"/>
  <c r="GC18" s="1"/>
  <c r="GQ18" s="1"/>
  <c r="HE18" s="1"/>
  <c r="HS18" s="1"/>
  <c r="IG18" s="1"/>
  <c r="IU18" s="1"/>
  <c r="AE20"/>
  <c r="AS20" s="1"/>
  <c r="BG20" s="1"/>
  <c r="BU20" s="1"/>
  <c r="CI20" s="1"/>
  <c r="CW20" s="1"/>
  <c r="DK20" s="1"/>
  <c r="DY20" s="1"/>
  <c r="EM20" s="1"/>
  <c r="FA20" s="1"/>
  <c r="FO20" s="1"/>
  <c r="GC20" s="1"/>
  <c r="GQ20" s="1"/>
  <c r="HE20" s="1"/>
  <c r="HS20" s="1"/>
  <c r="IG20" s="1"/>
  <c r="IU20" s="1"/>
  <c r="AE17"/>
  <c r="AS17" s="1"/>
  <c r="BG17" s="1"/>
  <c r="BU17" s="1"/>
  <c r="CI17" s="1"/>
  <c r="CW17" s="1"/>
  <c r="DK17" s="1"/>
  <c r="DY17" s="1"/>
  <c r="EM17" s="1"/>
  <c r="FA17" s="1"/>
  <c r="FO17" s="1"/>
  <c r="GC17" s="1"/>
  <c r="GQ17" s="1"/>
  <c r="HE17" s="1"/>
  <c r="HS17" s="1"/>
  <c r="IG17" s="1"/>
  <c r="IU17" s="1"/>
  <c r="AE19"/>
  <c r="AS19" s="1"/>
  <c r="BG19" s="1"/>
  <c r="BU19" s="1"/>
  <c r="CI19" s="1"/>
  <c r="CW19" s="1"/>
  <c r="DK19" s="1"/>
  <c r="DY19" s="1"/>
  <c r="EM19" s="1"/>
  <c r="FA19" s="1"/>
  <c r="FO19" s="1"/>
  <c r="GC19" s="1"/>
  <c r="GQ19" s="1"/>
  <c r="HE19" s="1"/>
  <c r="HS19" s="1"/>
  <c r="IG19" s="1"/>
  <c r="IU19" s="1"/>
  <c r="K118" i="16"/>
  <c r="TI56" i="17"/>
  <c r="TI55"/>
  <c r="TI54"/>
  <c r="TI57"/>
  <c r="Y56"/>
  <c r="Y54"/>
  <c r="Y55"/>
  <c r="Y57"/>
  <c r="U3" i="16"/>
  <c r="I3"/>
  <c r="J3"/>
  <c r="K3"/>
  <c r="L3"/>
  <c r="M3"/>
  <c r="N3"/>
  <c r="O3"/>
  <c r="P3"/>
  <c r="Q3"/>
  <c r="R3"/>
  <c r="S3"/>
  <c r="T3"/>
  <c r="B3"/>
  <c r="B99" s="1"/>
  <c r="G99" s="1"/>
  <c r="L99" s="1"/>
  <c r="B4"/>
  <c r="B5"/>
  <c r="V5" s="1"/>
  <c r="B10"/>
  <c r="B101" s="1"/>
  <c r="B11"/>
  <c r="B102" s="1"/>
  <c r="B12"/>
  <c r="B103" s="1"/>
  <c r="B13"/>
  <c r="B104" s="1"/>
  <c r="B14"/>
  <c r="B105" s="1"/>
  <c r="B15"/>
  <c r="B106" s="1"/>
  <c r="B16"/>
  <c r="B107" s="1"/>
  <c r="B17"/>
  <c r="B108" s="1"/>
  <c r="B18"/>
  <c r="B109" s="1"/>
  <c r="B19"/>
  <c r="B110" s="1"/>
  <c r="B20"/>
  <c r="B111" s="1"/>
  <c r="B21"/>
  <c r="B112" s="1"/>
  <c r="B22"/>
  <c r="B113" s="1"/>
  <c r="B23"/>
  <c r="B114" s="1"/>
  <c r="B25"/>
  <c r="B116" s="1"/>
  <c r="B26"/>
  <c r="B117" s="1"/>
  <c r="B27"/>
  <c r="B118" s="1"/>
  <c r="B28"/>
  <c r="B119" s="1"/>
  <c r="B29"/>
  <c r="B120" s="1"/>
  <c r="B30"/>
  <c r="B121" s="1"/>
  <c r="B31"/>
  <c r="B122" s="1"/>
  <c r="B32"/>
  <c r="B123" s="1"/>
  <c r="B33"/>
  <c r="B124" s="1"/>
  <c r="B34"/>
  <c r="B125" s="1"/>
  <c r="B35"/>
  <c r="B126" s="1"/>
  <c r="B36"/>
  <c r="B127" s="1"/>
  <c r="B37"/>
  <c r="B128" s="1"/>
  <c r="B38"/>
  <c r="B129" s="1"/>
  <c r="B39"/>
  <c r="B130" s="1"/>
  <c r="B40"/>
  <c r="B131" s="1"/>
  <c r="C1102" i="6"/>
  <c r="C639"/>
  <c r="C566"/>
  <c r="C67"/>
  <c r="E1275"/>
  <c r="E1263"/>
  <c r="BT13" i="17" l="1"/>
  <c r="BF71"/>
  <c r="BG13"/>
  <c r="BG71" s="1"/>
  <c r="JW19"/>
  <c r="KK19" s="1"/>
  <c r="KY19" s="1"/>
  <c r="LM19" s="1"/>
  <c r="MA19" s="1"/>
  <c r="MO19" s="1"/>
  <c r="NC19" s="1"/>
  <c r="NQ19" s="1"/>
  <c r="OE19" s="1"/>
  <c r="OS19" s="1"/>
  <c r="PG19" s="1"/>
  <c r="PU19" s="1"/>
  <c r="QI19" s="1"/>
  <c r="QW19" s="1"/>
  <c r="RK19" s="1"/>
  <c r="RY19" s="1"/>
  <c r="TA19" s="1"/>
  <c r="JI19"/>
  <c r="JW20"/>
  <c r="KK20" s="1"/>
  <c r="KY20" s="1"/>
  <c r="LM20" s="1"/>
  <c r="MA20" s="1"/>
  <c r="MO20" s="1"/>
  <c r="NC20" s="1"/>
  <c r="NQ20" s="1"/>
  <c r="OE20" s="1"/>
  <c r="OS20" s="1"/>
  <c r="PG20" s="1"/>
  <c r="PU20" s="1"/>
  <c r="QI20" s="1"/>
  <c r="QW20" s="1"/>
  <c r="RK20" s="1"/>
  <c r="RY20" s="1"/>
  <c r="TA20" s="1"/>
  <c r="JI20"/>
  <c r="JW16"/>
  <c r="KK16" s="1"/>
  <c r="KY16" s="1"/>
  <c r="LM16" s="1"/>
  <c r="MA16" s="1"/>
  <c r="MO16" s="1"/>
  <c r="NC16" s="1"/>
  <c r="NQ16" s="1"/>
  <c r="OE16" s="1"/>
  <c r="OS16" s="1"/>
  <c r="PG16" s="1"/>
  <c r="PU16" s="1"/>
  <c r="QI16" s="1"/>
  <c r="QW16" s="1"/>
  <c r="RK16" s="1"/>
  <c r="RY16" s="1"/>
  <c r="TA16" s="1"/>
  <c r="JI16"/>
  <c r="JW17"/>
  <c r="KK17" s="1"/>
  <c r="KY17" s="1"/>
  <c r="LM17" s="1"/>
  <c r="MA17" s="1"/>
  <c r="MO17" s="1"/>
  <c r="NC17" s="1"/>
  <c r="NQ17" s="1"/>
  <c r="OE17" s="1"/>
  <c r="OS17" s="1"/>
  <c r="PG17" s="1"/>
  <c r="PU17" s="1"/>
  <c r="QI17" s="1"/>
  <c r="QW17" s="1"/>
  <c r="RK17" s="1"/>
  <c r="RY17" s="1"/>
  <c r="SM17" s="1"/>
  <c r="JI17"/>
  <c r="JW18"/>
  <c r="KK18" s="1"/>
  <c r="KY18" s="1"/>
  <c r="LM18" s="1"/>
  <c r="MA18" s="1"/>
  <c r="MO18" s="1"/>
  <c r="NC18" s="1"/>
  <c r="NQ18" s="1"/>
  <c r="OE18" s="1"/>
  <c r="OS18" s="1"/>
  <c r="PG18" s="1"/>
  <c r="PU18" s="1"/>
  <c r="QI18" s="1"/>
  <c r="QW18" s="1"/>
  <c r="RK18" s="1"/>
  <c r="RY18" s="1"/>
  <c r="TA18" s="1"/>
  <c r="JI18"/>
  <c r="C568" i="6"/>
  <c r="C567"/>
  <c r="C640"/>
  <c r="C1103"/>
  <c r="C68"/>
  <c r="B41" i="16"/>
  <c r="B132" s="1"/>
  <c r="K1263" i="6"/>
  <c r="F106" i="16"/>
  <c r="I105"/>
  <c r="K119"/>
  <c r="V40"/>
  <c r="V30"/>
  <c r="V36"/>
  <c r="V35"/>
  <c r="V27"/>
  <c r="V18"/>
  <c r="V10"/>
  <c r="V21"/>
  <c r="V34"/>
  <c r="V26"/>
  <c r="V17"/>
  <c r="V23"/>
  <c r="V33"/>
  <c r="V25"/>
  <c r="V16"/>
  <c r="V4"/>
  <c r="V15"/>
  <c r="V39"/>
  <c r="V31"/>
  <c r="V22"/>
  <c r="V14"/>
  <c r="V38"/>
  <c r="V37"/>
  <c r="V29"/>
  <c r="V20"/>
  <c r="V12"/>
  <c r="V32"/>
  <c r="V13"/>
  <c r="V28"/>
  <c r="V19"/>
  <c r="V11"/>
  <c r="I37" i="1"/>
  <c r="J33" s="1"/>
  <c r="L26" s="1"/>
  <c r="M26" s="1"/>
  <c r="M27" s="1"/>
  <c r="M28" s="1"/>
  <c r="M29" s="1"/>
  <c r="M30" s="1"/>
  <c r="I38"/>
  <c r="TA17" i="17" l="1"/>
  <c r="BT71"/>
  <c r="CH13"/>
  <c r="BU13"/>
  <c r="BU71" s="1"/>
  <c r="SM19"/>
  <c r="SM18"/>
  <c r="SM16"/>
  <c r="SM20"/>
  <c r="C1104" i="6"/>
  <c r="C641"/>
  <c r="C69"/>
  <c r="C569"/>
  <c r="V41" i="16"/>
  <c r="F107"/>
  <c r="I106"/>
  <c r="K120"/>
  <c r="E23" i="1"/>
  <c r="F23"/>
  <c r="G23" s="1"/>
  <c r="E26"/>
  <c r="E27" s="1"/>
  <c r="E28" s="1"/>
  <c r="J26"/>
  <c r="K26" s="1"/>
  <c r="K27" s="1"/>
  <c r="K28" s="1"/>
  <c r="K29" s="1"/>
  <c r="K30" s="1"/>
  <c r="C37"/>
  <c r="E37"/>
  <c r="G37"/>
  <c r="C38"/>
  <c r="E38"/>
  <c r="G38"/>
  <c r="D41"/>
  <c r="D42"/>
  <c r="D43"/>
  <c r="D44"/>
  <c r="D45"/>
  <c r="D46"/>
  <c r="CH71" i="17" l="1"/>
  <c r="CI13"/>
  <c r="CI71" s="1"/>
  <c r="CV13"/>
  <c r="C570" i="6"/>
  <c r="C70"/>
  <c r="C642"/>
  <c r="C1105"/>
  <c r="F33" i="1"/>
  <c r="H26" s="1"/>
  <c r="I26" s="1"/>
  <c r="I27" s="1"/>
  <c r="I28" s="1"/>
  <c r="I29" s="1"/>
  <c r="I30" s="1"/>
  <c r="F108" i="16"/>
  <c r="I107"/>
  <c r="K121"/>
  <c r="H33" i="1"/>
  <c r="D33"/>
  <c r="F26" s="1"/>
  <c r="G26" s="1"/>
  <c r="G27" s="1"/>
  <c r="G28" s="1"/>
  <c r="G29" s="1"/>
  <c r="G30" s="1"/>
  <c r="H23"/>
  <c r="I23" s="1"/>
  <c r="C27"/>
  <c r="E29"/>
  <c r="E30" s="1"/>
  <c r="CV71" i="17" l="1"/>
  <c r="CW13"/>
  <c r="CW71" s="1"/>
  <c r="DJ13"/>
  <c r="C1106" i="6"/>
  <c r="C643"/>
  <c r="C71"/>
  <c r="C571"/>
  <c r="F109" i="16"/>
  <c r="I109" s="1"/>
  <c r="I108"/>
  <c r="K122"/>
  <c r="F20" i="14"/>
  <c r="I20" s="1"/>
  <c r="J20" s="1"/>
  <c r="G36" i="13"/>
  <c r="H36" s="1"/>
  <c r="I36" s="1"/>
  <c r="K11" i="10"/>
  <c r="K19"/>
  <c r="K27"/>
  <c r="K35"/>
  <c r="K43"/>
  <c r="K51"/>
  <c r="K59"/>
  <c r="K67"/>
  <c r="F19" i="14"/>
  <c r="G19" s="1"/>
  <c r="H19" s="1"/>
  <c r="G19" i="13"/>
  <c r="J19" s="1"/>
  <c r="K19" s="1"/>
  <c r="K4" i="10"/>
  <c r="K12"/>
  <c r="K20"/>
  <c r="K28"/>
  <c r="K36"/>
  <c r="K44"/>
  <c r="K52"/>
  <c r="K60"/>
  <c r="K68"/>
  <c r="F18" i="14"/>
  <c r="I18" s="1"/>
  <c r="J18" s="1"/>
  <c r="G18" i="13"/>
  <c r="J18" s="1"/>
  <c r="K5" i="10"/>
  <c r="K13"/>
  <c r="K21"/>
  <c r="K29"/>
  <c r="K37"/>
  <c r="K45"/>
  <c r="K53"/>
  <c r="K61"/>
  <c r="K69"/>
  <c r="F17" i="14"/>
  <c r="G17" s="1"/>
  <c r="H17" s="1"/>
  <c r="G17" i="13"/>
  <c r="J17" s="1"/>
  <c r="K17" s="1"/>
  <c r="K6" i="10"/>
  <c r="K14"/>
  <c r="K22"/>
  <c r="K30"/>
  <c r="K38"/>
  <c r="K46"/>
  <c r="K54"/>
  <c r="K62"/>
  <c r="K70"/>
  <c r="K32"/>
  <c r="F16" i="14"/>
  <c r="G16" s="1"/>
  <c r="H16" s="1"/>
  <c r="G16" i="13"/>
  <c r="H16" s="1"/>
  <c r="I16" s="1"/>
  <c r="K7" i="10"/>
  <c r="K15"/>
  <c r="K23"/>
  <c r="K31"/>
  <c r="K39"/>
  <c r="K47"/>
  <c r="K55"/>
  <c r="K63"/>
  <c r="K71"/>
  <c r="F15" i="14"/>
  <c r="G15" s="1"/>
  <c r="H15" s="1"/>
  <c r="G15" i="13"/>
  <c r="J15" s="1"/>
  <c r="K15" s="1"/>
  <c r="K8" i="10"/>
  <c r="K16"/>
  <c r="K24"/>
  <c r="K40"/>
  <c r="K48"/>
  <c r="K56"/>
  <c r="K64"/>
  <c r="K72"/>
  <c r="G38" i="13"/>
  <c r="J38" s="1"/>
  <c r="K38" s="1"/>
  <c r="G14"/>
  <c r="J14" s="1"/>
  <c r="K9" i="10"/>
  <c r="K17"/>
  <c r="K25"/>
  <c r="K33"/>
  <c r="K41"/>
  <c r="K49"/>
  <c r="K57"/>
  <c r="K65"/>
  <c r="K73"/>
  <c r="G37" i="13"/>
  <c r="J37" s="1"/>
  <c r="J9" i="1"/>
  <c r="K10" i="10"/>
  <c r="K18"/>
  <c r="K26"/>
  <c r="K34"/>
  <c r="K42"/>
  <c r="K50"/>
  <c r="K58"/>
  <c r="K66"/>
  <c r="J23" i="1"/>
  <c r="K23" s="1"/>
  <c r="C29"/>
  <c r="I19" i="14"/>
  <c r="I15"/>
  <c r="G154" i="12"/>
  <c r="H154" s="1"/>
  <c r="F154"/>
  <c r="G153"/>
  <c r="H153" s="1"/>
  <c r="F153"/>
  <c r="G152"/>
  <c r="H152" s="1"/>
  <c r="F152"/>
  <c r="G151"/>
  <c r="H151" s="1"/>
  <c r="F151"/>
  <c r="G150"/>
  <c r="H150" s="1"/>
  <c r="F150"/>
  <c r="G149"/>
  <c r="F149"/>
  <c r="G148"/>
  <c r="H148" s="1"/>
  <c r="F148"/>
  <c r="G147"/>
  <c r="F147"/>
  <c r="G146"/>
  <c r="H146" s="1"/>
  <c r="F146"/>
  <c r="D145"/>
  <c r="G145" s="1"/>
  <c r="G144"/>
  <c r="F144"/>
  <c r="G143"/>
  <c r="F143"/>
  <c r="G142"/>
  <c r="F142"/>
  <c r="G141"/>
  <c r="F141"/>
  <c r="G140"/>
  <c r="F140"/>
  <c r="G139"/>
  <c r="F139"/>
  <c r="G138"/>
  <c r="F138"/>
  <c r="G137"/>
  <c r="F137"/>
  <c r="G136"/>
  <c r="F136"/>
  <c r="G135"/>
  <c r="F135"/>
  <c r="G134"/>
  <c r="F134"/>
  <c r="G116"/>
  <c r="H116" s="1"/>
  <c r="F116"/>
  <c r="G115"/>
  <c r="F115"/>
  <c r="G114"/>
  <c r="H114" s="1"/>
  <c r="F114"/>
  <c r="G113"/>
  <c r="F113"/>
  <c r="D112"/>
  <c r="G112" s="1"/>
  <c r="G111"/>
  <c r="F111"/>
  <c r="G110"/>
  <c r="F110"/>
  <c r="D109"/>
  <c r="G109" s="1"/>
  <c r="D108"/>
  <c r="G108" s="1"/>
  <c r="D107"/>
  <c r="G107" s="1"/>
  <c r="G106"/>
  <c r="H106" s="1"/>
  <c r="F106"/>
  <c r="G105"/>
  <c r="F105"/>
  <c r="D104"/>
  <c r="G104" s="1"/>
  <c r="D103"/>
  <c r="G103" s="1"/>
  <c r="D102"/>
  <c r="G102" s="1"/>
  <c r="G101"/>
  <c r="F101"/>
  <c r="D100"/>
  <c r="G100" s="1"/>
  <c r="D99"/>
  <c r="G99" s="1"/>
  <c r="G98"/>
  <c r="F98"/>
  <c r="D97"/>
  <c r="G97" s="1"/>
  <c r="D96"/>
  <c r="G96" s="1"/>
  <c r="G77"/>
  <c r="H77" s="1"/>
  <c r="F77"/>
  <c r="G76"/>
  <c r="H76" s="1"/>
  <c r="F76"/>
  <c r="G75"/>
  <c r="H75" s="1"/>
  <c r="F75"/>
  <c r="G74"/>
  <c r="H74" s="1"/>
  <c r="F74"/>
  <c r="G73"/>
  <c r="F73"/>
  <c r="G72"/>
  <c r="H72" s="1"/>
  <c r="F72"/>
  <c r="G71"/>
  <c r="F71"/>
  <c r="G70"/>
  <c r="H70" s="1"/>
  <c r="F70"/>
  <c r="G69"/>
  <c r="F69"/>
  <c r="D68"/>
  <c r="G68" s="1"/>
  <c r="G67"/>
  <c r="F67"/>
  <c r="G66"/>
  <c r="F66"/>
  <c r="G65"/>
  <c r="F65"/>
  <c r="D64"/>
  <c r="G64" s="1"/>
  <c r="D63"/>
  <c r="G63" s="1"/>
  <c r="D62"/>
  <c r="G62" s="1"/>
  <c r="G61"/>
  <c r="H61" s="1"/>
  <c r="F61"/>
  <c r="G60"/>
  <c r="H60" s="1"/>
  <c r="F60"/>
  <c r="G59"/>
  <c r="H59" s="1"/>
  <c r="F59"/>
  <c r="G58"/>
  <c r="H58" s="1"/>
  <c r="F58"/>
  <c r="G57"/>
  <c r="H57" s="1"/>
  <c r="F57"/>
  <c r="G39"/>
  <c r="H39" s="1"/>
  <c r="F39"/>
  <c r="G38"/>
  <c r="H38" s="1"/>
  <c r="F38"/>
  <c r="G37"/>
  <c r="H37" s="1"/>
  <c r="F37"/>
  <c r="G36"/>
  <c r="H36" s="1"/>
  <c r="F36"/>
  <c r="D35"/>
  <c r="G35" s="1"/>
  <c r="G34"/>
  <c r="F34"/>
  <c r="D33"/>
  <c r="G33" s="1"/>
  <c r="D32"/>
  <c r="G32" s="1"/>
  <c r="G31"/>
  <c r="F31"/>
  <c r="D30"/>
  <c r="G30" s="1"/>
  <c r="D29"/>
  <c r="G29" s="1"/>
  <c r="G28"/>
  <c r="F28"/>
  <c r="G27"/>
  <c r="F27"/>
  <c r="G26"/>
  <c r="F26"/>
  <c r="G25"/>
  <c r="F25"/>
  <c r="D24"/>
  <c r="G24" s="1"/>
  <c r="D23"/>
  <c r="G23" s="1"/>
  <c r="G22"/>
  <c r="F22"/>
  <c r="G21"/>
  <c r="F21"/>
  <c r="D20"/>
  <c r="G20" s="1"/>
  <c r="G19"/>
  <c r="H19" s="1"/>
  <c r="F19"/>
  <c r="G41" i="11"/>
  <c r="G40"/>
  <c r="G39"/>
  <c r="G38"/>
  <c r="G37"/>
  <c r="G36"/>
  <c r="G35"/>
  <c r="G34"/>
  <c r="G30"/>
  <c r="C51" s="1"/>
  <c r="D51" s="1"/>
  <c r="G29"/>
  <c r="G28"/>
  <c r="C50" s="1"/>
  <c r="D50" s="1"/>
  <c r="G27"/>
  <c r="C49" s="1"/>
  <c r="D49" s="1"/>
  <c r="G26"/>
  <c r="C48" s="1"/>
  <c r="D48" s="1"/>
  <c r="G25"/>
  <c r="C47" s="1"/>
  <c r="G24"/>
  <c r="G23"/>
  <c r="F22"/>
  <c r="G22" s="1"/>
  <c r="F21"/>
  <c r="G21" s="1"/>
  <c r="G20"/>
  <c r="C46" s="1"/>
  <c r="G14"/>
  <c r="G13"/>
  <c r="G12"/>
  <c r="G8"/>
  <c r="B47" s="1"/>
  <c r="G7"/>
  <c r="G6"/>
  <c r="B46" s="1"/>
  <c r="QL32" i="17" l="1"/>
  <c r="OH32"/>
  <c r="MD32"/>
  <c r="JZ32"/>
  <c r="HH32"/>
  <c r="FD32"/>
  <c r="CZ32"/>
  <c r="BJ32"/>
  <c r="SP32"/>
  <c r="SB32"/>
  <c r="PX32"/>
  <c r="NT32"/>
  <c r="LP32"/>
  <c r="IX32"/>
  <c r="GT32"/>
  <c r="EP32"/>
  <c r="CL32"/>
  <c r="AV32"/>
  <c r="F32"/>
  <c r="RN32"/>
  <c r="PJ32"/>
  <c r="NF32"/>
  <c r="LB32"/>
  <c r="IJ32"/>
  <c r="GF32"/>
  <c r="EB32"/>
  <c r="BX32"/>
  <c r="JL32"/>
  <c r="QZ32"/>
  <c r="OV32"/>
  <c r="MR32"/>
  <c r="KN32"/>
  <c r="HV32"/>
  <c r="FR32"/>
  <c r="DN32"/>
  <c r="AB1272" i="6"/>
  <c r="AB1271"/>
  <c r="AB1270"/>
  <c r="AB1269"/>
  <c r="AB1266"/>
  <c r="AB1273"/>
  <c r="AB1274"/>
  <c r="AB1265"/>
  <c r="AB1267"/>
  <c r="AB1268"/>
  <c r="AB203"/>
  <c r="AB102"/>
  <c r="AB86"/>
  <c r="AB70"/>
  <c r="AB129"/>
  <c r="AB175"/>
  <c r="AB229"/>
  <c r="AB313"/>
  <c r="AB297"/>
  <c r="AB347"/>
  <c r="AB423"/>
  <c r="AB458"/>
  <c r="AB579"/>
  <c r="AB553"/>
  <c r="AB616"/>
  <c r="AB591"/>
  <c r="AB640"/>
  <c r="AB721"/>
  <c r="AB752"/>
  <c r="AB834"/>
  <c r="AB866"/>
  <c r="AB890"/>
  <c r="AB909"/>
  <c r="AB990"/>
  <c r="AB1089"/>
  <c r="AB1111"/>
  <c r="AB1138"/>
  <c r="AB1161"/>
  <c r="AB1173"/>
  <c r="AB1213"/>
  <c r="AB1223"/>
  <c r="AB1258"/>
  <c r="AB1031"/>
  <c r="AB101"/>
  <c r="AB85"/>
  <c r="AB69"/>
  <c r="AB128"/>
  <c r="AB174"/>
  <c r="AB228"/>
  <c r="AB312"/>
  <c r="AB296"/>
  <c r="AB346"/>
  <c r="AB422"/>
  <c r="AB457"/>
  <c r="AB578"/>
  <c r="AB552"/>
  <c r="AB615"/>
  <c r="AB587"/>
  <c r="AB678"/>
  <c r="AB720"/>
  <c r="AB751"/>
  <c r="AB833"/>
  <c r="AB865"/>
  <c r="AB889"/>
  <c r="AB908"/>
  <c r="AB989"/>
  <c r="AB1088"/>
  <c r="AB1110"/>
  <c r="AB1137"/>
  <c r="AB1160"/>
  <c r="AB1172"/>
  <c r="AB1212"/>
  <c r="AB1245"/>
  <c r="AB1257"/>
  <c r="AB1030"/>
  <c r="AB100"/>
  <c r="AB84"/>
  <c r="AB143"/>
  <c r="AB127"/>
  <c r="AB173"/>
  <c r="AB227"/>
  <c r="AB311"/>
  <c r="AB295"/>
  <c r="AB345"/>
  <c r="AB421"/>
  <c r="AB456"/>
  <c r="AB577"/>
  <c r="AB550"/>
  <c r="AB614"/>
  <c r="AB586"/>
  <c r="AB677"/>
  <c r="AB719"/>
  <c r="AB750"/>
  <c r="AB832"/>
  <c r="AB864"/>
  <c r="AB94"/>
  <c r="AB78"/>
  <c r="AB137"/>
  <c r="AB183"/>
  <c r="AB237"/>
  <c r="AB221"/>
  <c r="AB305"/>
  <c r="AB355"/>
  <c r="AB373"/>
  <c r="AB415"/>
  <c r="AB500"/>
  <c r="AB571"/>
  <c r="AB533"/>
  <c r="AB608"/>
  <c r="AB648"/>
  <c r="AB671"/>
  <c r="AB713"/>
  <c r="AB744"/>
  <c r="AB826"/>
  <c r="AB858"/>
  <c r="AB917"/>
  <c r="AB947"/>
  <c r="AB982"/>
  <c r="AB1081"/>
  <c r="AB1103"/>
  <c r="AB1130"/>
  <c r="AB1181"/>
  <c r="AB1197"/>
  <c r="AB1231"/>
  <c r="AB1238"/>
  <c r="AB1250"/>
  <c r="AB1023"/>
  <c r="AB93"/>
  <c r="AB77"/>
  <c r="AB136"/>
  <c r="AB182"/>
  <c r="AB236"/>
  <c r="AB220"/>
  <c r="AB304"/>
  <c r="AB354"/>
  <c r="AB372"/>
  <c r="AB414"/>
  <c r="AB499"/>
  <c r="AB570"/>
  <c r="AB527"/>
  <c r="AB607"/>
  <c r="AB647"/>
  <c r="AB670"/>
  <c r="AB712"/>
  <c r="AB743"/>
  <c r="AB825"/>
  <c r="AB857"/>
  <c r="AB916"/>
  <c r="AB946"/>
  <c r="AB981"/>
  <c r="AB1118"/>
  <c r="AB1098"/>
  <c r="AB1168"/>
  <c r="AB1180"/>
  <c r="AB1196"/>
  <c r="AB1230"/>
  <c r="AB1237"/>
  <c r="AB1248"/>
  <c r="AB1022"/>
  <c r="AB92"/>
  <c r="AB76"/>
  <c r="AB135"/>
  <c r="AB181"/>
  <c r="AB235"/>
  <c r="AB219"/>
  <c r="AB303"/>
  <c r="AB353"/>
  <c r="AB429"/>
  <c r="AB413"/>
  <c r="AB498"/>
  <c r="AB569"/>
  <c r="AB525"/>
  <c r="AB602"/>
  <c r="AB646"/>
  <c r="AB669"/>
  <c r="AB711"/>
  <c r="AB742"/>
  <c r="AB888"/>
  <c r="AB907"/>
  <c r="AB988"/>
  <c r="AB1087"/>
  <c r="AB1109"/>
  <c r="AB1136"/>
  <c r="AB1159"/>
  <c r="AB1203"/>
  <c r="AB1211"/>
  <c r="AB1244"/>
  <c r="AB1256"/>
  <c r="AB1029"/>
  <c r="AB99"/>
  <c r="AB83"/>
  <c r="AB142"/>
  <c r="AB126"/>
  <c r="AB172"/>
  <c r="AB226"/>
  <c r="AB310"/>
  <c r="AB294"/>
  <c r="AB378"/>
  <c r="AB420"/>
  <c r="AB455"/>
  <c r="AB576"/>
  <c r="AB549"/>
  <c r="AB613"/>
  <c r="AB653"/>
  <c r="AB676"/>
  <c r="AB718"/>
  <c r="AB749"/>
  <c r="AB831"/>
  <c r="AB863"/>
  <c r="AB887"/>
  <c r="AB952"/>
  <c r="AB987"/>
  <c r="AB1086"/>
  <c r="AB1108"/>
  <c r="AB1135"/>
  <c r="AB1158"/>
  <c r="AB1202"/>
  <c r="AB1210"/>
  <c r="AB1243"/>
  <c r="AB1255"/>
  <c r="AB1028"/>
  <c r="AB98"/>
  <c r="AB82"/>
  <c r="AB141"/>
  <c r="AB125"/>
  <c r="AB171"/>
  <c r="AB225"/>
  <c r="AB301"/>
  <c r="AB351"/>
  <c r="AB427"/>
  <c r="AB462"/>
  <c r="AB496"/>
  <c r="AB563"/>
  <c r="AB510"/>
  <c r="AB600"/>
  <c r="AB644"/>
  <c r="AB667"/>
  <c r="AB756"/>
  <c r="AB740"/>
  <c r="AB870"/>
  <c r="AB894"/>
  <c r="AB913"/>
  <c r="AB943"/>
  <c r="AB1093"/>
  <c r="AB1115"/>
  <c r="AB1142"/>
  <c r="AB1165"/>
  <c r="AB1177"/>
  <c r="AB1217"/>
  <c r="AB1227"/>
  <c r="AB1262"/>
  <c r="AB1035"/>
  <c r="AB1019"/>
  <c r="AB89"/>
  <c r="AB73"/>
  <c r="AB132"/>
  <c r="AB178"/>
  <c r="AB232"/>
  <c r="AB316"/>
  <c r="AB300"/>
  <c r="AB350"/>
  <c r="AB426"/>
  <c r="AB896"/>
  <c r="AB915"/>
  <c r="AB945"/>
  <c r="AB980"/>
  <c r="AB1117"/>
  <c r="AB1144"/>
  <c r="AB1167"/>
  <c r="AB1179"/>
  <c r="AB1195"/>
  <c r="AB1229"/>
  <c r="AB1236"/>
  <c r="AB1037"/>
  <c r="AB1021"/>
  <c r="AB91"/>
  <c r="AB75"/>
  <c r="AB134"/>
  <c r="AB180"/>
  <c r="AB234"/>
  <c r="AB208"/>
  <c r="AB302"/>
  <c r="AB352"/>
  <c r="AB428"/>
  <c r="AB463"/>
  <c r="AB497"/>
  <c r="AB567"/>
  <c r="AB522"/>
  <c r="AB601"/>
  <c r="AB645"/>
  <c r="AB668"/>
  <c r="AB710"/>
  <c r="AB741"/>
  <c r="AB823"/>
  <c r="AB895"/>
  <c r="AB914"/>
  <c r="AB944"/>
  <c r="AB1094"/>
  <c r="AB1116"/>
  <c r="AB1143"/>
  <c r="AB1166"/>
  <c r="AB1178"/>
  <c r="AB1194"/>
  <c r="AB1228"/>
  <c r="AB1235"/>
  <c r="AB1036"/>
  <c r="AB1020"/>
  <c r="AB90"/>
  <c r="AB74"/>
  <c r="AB133"/>
  <c r="AB179"/>
  <c r="AB233"/>
  <c r="AB309"/>
  <c r="AB293"/>
  <c r="AB377"/>
  <c r="AB419"/>
  <c r="AB454"/>
  <c r="AB575"/>
  <c r="AB544"/>
  <c r="AB612"/>
  <c r="AB652"/>
  <c r="AB675"/>
  <c r="AB717"/>
  <c r="AB748"/>
  <c r="AB830"/>
  <c r="AB862"/>
  <c r="AB886"/>
  <c r="AB951"/>
  <c r="AB986"/>
  <c r="AB1085"/>
  <c r="AB1107"/>
  <c r="AB1134"/>
  <c r="AB1157"/>
  <c r="AB1201"/>
  <c r="AB1209"/>
  <c r="AB1242"/>
  <c r="AB1254"/>
  <c r="AB1027"/>
  <c r="AB97"/>
  <c r="AB81"/>
  <c r="AB140"/>
  <c r="AB124"/>
  <c r="AB170"/>
  <c r="AB224"/>
  <c r="AB308"/>
  <c r="AB824"/>
  <c r="AB418"/>
  <c r="AB503"/>
  <c r="AB574"/>
  <c r="AB541"/>
  <c r="AB611"/>
  <c r="AB651"/>
  <c r="AB674"/>
  <c r="AB716"/>
  <c r="AB747"/>
  <c r="AB829"/>
  <c r="AB861"/>
  <c r="AB885"/>
  <c r="AB950"/>
  <c r="AB985"/>
  <c r="AB1084"/>
  <c r="AB1106"/>
  <c r="AB1133"/>
  <c r="AB1184"/>
  <c r="AB1200"/>
  <c r="AB1208"/>
  <c r="AB1241"/>
  <c r="AB1253"/>
  <c r="AB1026"/>
  <c r="AB88"/>
  <c r="AB72"/>
  <c r="AB131"/>
  <c r="AB177"/>
  <c r="AB231"/>
  <c r="AB315"/>
  <c r="AB299"/>
  <c r="AB349"/>
  <c r="AB425"/>
  <c r="AB460"/>
  <c r="AB581"/>
  <c r="AB558"/>
  <c r="AB506"/>
  <c r="AB596"/>
  <c r="AB642"/>
  <c r="AB723"/>
  <c r="AB754"/>
  <c r="AB836"/>
  <c r="AB868"/>
  <c r="AB892"/>
  <c r="AB911"/>
  <c r="AB992"/>
  <c r="AB1091"/>
  <c r="AB1113"/>
  <c r="AB1140"/>
  <c r="AB1163"/>
  <c r="AB1175"/>
  <c r="AB1215"/>
  <c r="AB1225"/>
  <c r="AB1260"/>
  <c r="AB1033"/>
  <c r="AB95"/>
  <c r="AB79"/>
  <c r="AB138"/>
  <c r="AB184"/>
  <c r="AB168"/>
  <c r="AB222"/>
  <c r="AB306"/>
  <c r="AB356"/>
  <c r="AB374"/>
  <c r="AB416"/>
  <c r="AB501"/>
  <c r="AB572"/>
  <c r="AB539"/>
  <c r="AB609"/>
  <c r="AB649"/>
  <c r="AB672"/>
  <c r="AB714"/>
  <c r="AB745"/>
  <c r="AB827"/>
  <c r="AB859"/>
  <c r="AB918"/>
  <c r="AB948"/>
  <c r="AB983"/>
  <c r="AB1082"/>
  <c r="AB1104"/>
  <c r="AB1131"/>
  <c r="AB1182"/>
  <c r="AB1198"/>
  <c r="AB1232"/>
  <c r="AB1239"/>
  <c r="AB1251"/>
  <c r="AB1024"/>
  <c r="AB376"/>
  <c r="AB1090"/>
  <c r="AB1162"/>
  <c r="AB1174"/>
  <c r="AB1224"/>
  <c r="AB1259"/>
  <c r="AB292"/>
  <c r="AB461"/>
  <c r="AB495"/>
  <c r="AB561"/>
  <c r="AB507"/>
  <c r="AB599"/>
  <c r="AB643"/>
  <c r="AB724"/>
  <c r="AB755"/>
  <c r="AB837"/>
  <c r="AB869"/>
  <c r="AB893"/>
  <c r="AB912"/>
  <c r="AB942"/>
  <c r="AB1092"/>
  <c r="AB1114"/>
  <c r="AB1141"/>
  <c r="AB1164"/>
  <c r="AB1176"/>
  <c r="AB1216"/>
  <c r="AB1226"/>
  <c r="AB1261"/>
  <c r="AB1034"/>
  <c r="AB96"/>
  <c r="AB80"/>
  <c r="AB139"/>
  <c r="AB123"/>
  <c r="AB169"/>
  <c r="AB223"/>
  <c r="AB307"/>
  <c r="AB357"/>
  <c r="AB375"/>
  <c r="AB417"/>
  <c r="AB502"/>
  <c r="AB573"/>
  <c r="AB540"/>
  <c r="AB610"/>
  <c r="AB650"/>
  <c r="AB673"/>
  <c r="AB715"/>
  <c r="AB746"/>
  <c r="AB828"/>
  <c r="AB860"/>
  <c r="AB884"/>
  <c r="AB949"/>
  <c r="AB984"/>
  <c r="AB1083"/>
  <c r="AB1105"/>
  <c r="AB1132"/>
  <c r="AB1183"/>
  <c r="AB1199"/>
  <c r="AB1207"/>
  <c r="AB1240"/>
  <c r="AB1252"/>
  <c r="AB1025"/>
  <c r="AB87"/>
  <c r="AB71"/>
  <c r="AB130"/>
  <c r="AB176"/>
  <c r="AB230"/>
  <c r="AB314"/>
  <c r="AB298"/>
  <c r="AB348"/>
  <c r="AB424"/>
  <c r="AB459"/>
  <c r="AB580"/>
  <c r="AB554"/>
  <c r="AB617"/>
  <c r="AB593"/>
  <c r="AB641"/>
  <c r="AB722"/>
  <c r="AB753"/>
  <c r="AB835"/>
  <c r="AB867"/>
  <c r="AB891"/>
  <c r="AB910"/>
  <c r="AB991"/>
  <c r="AB1112"/>
  <c r="AB1139"/>
  <c r="AB1214"/>
  <c r="AB1032"/>
  <c r="AB1079"/>
  <c r="AB1041"/>
  <c r="AB1205"/>
  <c r="AB1067"/>
  <c r="AB631"/>
  <c r="AB840"/>
  <c r="AB877"/>
  <c r="AB1039"/>
  <c r="AB876"/>
  <c r="AB1171"/>
  <c r="AB606"/>
  <c r="AB1080"/>
  <c r="AB548"/>
  <c r="AB536"/>
  <c r="AB543"/>
  <c r="AB605"/>
  <c r="AB883"/>
  <c r="AB583"/>
  <c r="AB588"/>
  <c r="AB537"/>
  <c r="AB929"/>
  <c r="AB1074"/>
  <c r="AB1059"/>
  <c r="AB1050"/>
  <c r="AB1078"/>
  <c r="AB1063"/>
  <c r="AB852"/>
  <c r="AB881"/>
  <c r="AB849"/>
  <c r="AB873"/>
  <c r="AB1077"/>
  <c r="AB847"/>
  <c r="AB898"/>
  <c r="AB1058"/>
  <c r="AB923"/>
  <c r="AB1075"/>
  <c r="AB872"/>
  <c r="AB839"/>
  <c r="AB1264"/>
  <c r="AB1263" s="1"/>
  <c r="AB1249"/>
  <c r="AB551"/>
  <c r="AB562"/>
  <c r="AB592"/>
  <c r="AB546"/>
  <c r="AB603"/>
  <c r="AB595"/>
  <c r="AB1206"/>
  <c r="AB1204" s="1"/>
  <c r="AB566"/>
  <c r="AB1070"/>
  <c r="AB1040"/>
  <c r="AB1170"/>
  <c r="AB1046"/>
  <c r="AB940"/>
  <c r="AB846"/>
  <c r="AB1048"/>
  <c r="AB878"/>
  <c r="AB332"/>
  <c r="AB335"/>
  <c r="AB250"/>
  <c r="AB3"/>
  <c r="AB342"/>
  <c r="AB253"/>
  <c r="AB264"/>
  <c r="AB42"/>
  <c r="AB35"/>
  <c r="AB272"/>
  <c r="AB325"/>
  <c r="AB120"/>
  <c r="AB118"/>
  <c r="AB323"/>
  <c r="AB341"/>
  <c r="AB255"/>
  <c r="AB12"/>
  <c r="AB4"/>
  <c r="AB512"/>
  <c r="AB521"/>
  <c r="AB534"/>
  <c r="AB517"/>
  <c r="AB530"/>
  <c r="AB520"/>
  <c r="AB516"/>
  <c r="AB257"/>
  <c r="AB277"/>
  <c r="AB63"/>
  <c r="AB56"/>
  <c r="AB340"/>
  <c r="AB330"/>
  <c r="AB186"/>
  <c r="AB145"/>
  <c r="AB327"/>
  <c r="AB245"/>
  <c r="AB262"/>
  <c r="AB25"/>
  <c r="AB14"/>
  <c r="AB282"/>
  <c r="AB319"/>
  <c r="AB104"/>
  <c r="AB66"/>
  <c r="AB263"/>
  <c r="AB514"/>
  <c r="AB509"/>
  <c r="AB519"/>
  <c r="AB523"/>
  <c r="AB508"/>
  <c r="AB528"/>
  <c r="AB1247"/>
  <c r="AB1234"/>
  <c r="AB1233" s="1"/>
  <c r="DJ71" i="17"/>
  <c r="DX13"/>
  <c r="DK13"/>
  <c r="DK71" s="1"/>
  <c r="H37" i="13"/>
  <c r="I37" s="1"/>
  <c r="C572" i="6"/>
  <c r="C72"/>
  <c r="C644"/>
  <c r="C1107"/>
  <c r="G20" i="14"/>
  <c r="H20" s="1"/>
  <c r="F63" i="12"/>
  <c r="H17" i="13"/>
  <c r="I17" s="1"/>
  <c r="H19"/>
  <c r="I19" s="1"/>
  <c r="AH32" i="17"/>
  <c r="TD32"/>
  <c r="T32"/>
  <c r="K123" i="16"/>
  <c r="H15" i="13"/>
  <c r="I15" s="1"/>
  <c r="C30" i="1"/>
  <c r="D90" i="10" s="1"/>
  <c r="L23" i="1"/>
  <c r="M23" s="1"/>
  <c r="C28" s="1"/>
  <c r="J36" i="13"/>
  <c r="K36" s="1"/>
  <c r="H14"/>
  <c r="I14" s="1"/>
  <c r="I16" i="14"/>
  <c r="J16" s="1"/>
  <c r="H38" i="13"/>
  <c r="I38" s="1"/>
  <c r="I17" i="14"/>
  <c r="J17" s="1"/>
  <c r="K17" s="1"/>
  <c r="J16" i="13"/>
  <c r="K16" s="1"/>
  <c r="L16" s="1"/>
  <c r="G18" i="14"/>
  <c r="H18" s="1"/>
  <c r="J11" i="1" s="1"/>
  <c r="D104" i="10"/>
  <c r="E102"/>
  <c r="E106"/>
  <c r="F102"/>
  <c r="F104"/>
  <c r="F110"/>
  <c r="C105"/>
  <c r="C111"/>
  <c r="E109"/>
  <c r="D91"/>
  <c r="D103"/>
  <c r="D105"/>
  <c r="D119"/>
  <c r="E89"/>
  <c r="E93"/>
  <c r="E119"/>
  <c r="F89"/>
  <c r="F101"/>
  <c r="F105"/>
  <c r="F117"/>
  <c r="F119"/>
  <c r="C100"/>
  <c r="C102"/>
  <c r="C104"/>
  <c r="C118"/>
  <c r="C120"/>
  <c r="H18" i="13"/>
  <c r="I18" s="1"/>
  <c r="D46" i="11"/>
  <c r="C56"/>
  <c r="K14" i="13"/>
  <c r="L14" s="1"/>
  <c r="B56" i="11"/>
  <c r="J15" i="14"/>
  <c r="K15" s="1"/>
  <c r="K18" i="13"/>
  <c r="L18" s="1"/>
  <c r="K37"/>
  <c r="L37" s="1"/>
  <c r="F104" i="12"/>
  <c r="J19" i="14"/>
  <c r="K19" s="1"/>
  <c r="F35" i="12"/>
  <c r="F112"/>
  <c r="F29"/>
  <c r="F99"/>
  <c r="K18" i="14"/>
  <c r="K20"/>
  <c r="L38" i="13"/>
  <c r="L15"/>
  <c r="L17"/>
  <c r="L19"/>
  <c r="I19" i="12"/>
  <c r="F23"/>
  <c r="F32"/>
  <c r="I58"/>
  <c r="I60"/>
  <c r="F68"/>
  <c r="I57"/>
  <c r="I59"/>
  <c r="I61"/>
  <c r="H69"/>
  <c r="I69" s="1"/>
  <c r="I70"/>
  <c r="H71"/>
  <c r="I71" s="1"/>
  <c r="I72"/>
  <c r="H73"/>
  <c r="I73" s="1"/>
  <c r="F96"/>
  <c r="F102"/>
  <c r="H105"/>
  <c r="I105" s="1"/>
  <c r="I106"/>
  <c r="F108"/>
  <c r="H113"/>
  <c r="I113" s="1"/>
  <c r="I114"/>
  <c r="H115"/>
  <c r="I115" s="1"/>
  <c r="F145"/>
  <c r="I146"/>
  <c r="H147"/>
  <c r="I147" s="1"/>
  <c r="I148"/>
  <c r="H149"/>
  <c r="I149" s="1"/>
  <c r="I150"/>
  <c r="H145"/>
  <c r="I145" s="1"/>
  <c r="H134"/>
  <c r="I134" s="1"/>
  <c r="H135"/>
  <c r="I135" s="1"/>
  <c r="H136"/>
  <c r="I136" s="1"/>
  <c r="H137"/>
  <c r="I137" s="1"/>
  <c r="H138"/>
  <c r="I138" s="1"/>
  <c r="H139"/>
  <c r="I139" s="1"/>
  <c r="H140"/>
  <c r="I140" s="1"/>
  <c r="H141"/>
  <c r="I141" s="1"/>
  <c r="H142"/>
  <c r="I142" s="1"/>
  <c r="H143"/>
  <c r="I143" s="1"/>
  <c r="H144"/>
  <c r="I144" s="1"/>
  <c r="I151"/>
  <c r="I152"/>
  <c r="I153"/>
  <c r="I154"/>
  <c r="H99"/>
  <c r="I99" s="1"/>
  <c r="H100"/>
  <c r="I100" s="1"/>
  <c r="H104"/>
  <c r="I104" s="1"/>
  <c r="H107"/>
  <c r="I107" s="1"/>
  <c r="H112"/>
  <c r="I112" s="1"/>
  <c r="H96"/>
  <c r="I96" s="1"/>
  <c r="H97"/>
  <c r="I97" s="1"/>
  <c r="H102"/>
  <c r="I102" s="1"/>
  <c r="H103"/>
  <c r="I103" s="1"/>
  <c r="H108"/>
  <c r="I108" s="1"/>
  <c r="H109"/>
  <c r="I109" s="1"/>
  <c r="F97"/>
  <c r="H98"/>
  <c r="I98" s="1"/>
  <c r="F100"/>
  <c r="H101"/>
  <c r="I101" s="1"/>
  <c r="F103"/>
  <c r="F107"/>
  <c r="F109"/>
  <c r="H110"/>
  <c r="I110" s="1"/>
  <c r="H111"/>
  <c r="I111" s="1"/>
  <c r="I116"/>
  <c r="H62"/>
  <c r="I62" s="1"/>
  <c r="H68"/>
  <c r="I68" s="1"/>
  <c r="H63"/>
  <c r="I63" s="1"/>
  <c r="H64"/>
  <c r="I64" s="1"/>
  <c r="F62"/>
  <c r="F64"/>
  <c r="H65"/>
  <c r="I65" s="1"/>
  <c r="H66"/>
  <c r="I66" s="1"/>
  <c r="H67"/>
  <c r="I67" s="1"/>
  <c r="I74"/>
  <c r="I75"/>
  <c r="I76"/>
  <c r="I77"/>
  <c r="H23"/>
  <c r="I23" s="1"/>
  <c r="H24"/>
  <c r="I24" s="1"/>
  <c r="H32"/>
  <c r="I32" s="1"/>
  <c r="H33"/>
  <c r="I33" s="1"/>
  <c r="H20"/>
  <c r="I20" s="1"/>
  <c r="H29"/>
  <c r="I29" s="1"/>
  <c r="H30"/>
  <c r="I30" s="1"/>
  <c r="H35"/>
  <c r="I35" s="1"/>
  <c r="F20"/>
  <c r="H21"/>
  <c r="I21" s="1"/>
  <c r="H22"/>
  <c r="I22" s="1"/>
  <c r="F24"/>
  <c r="H25"/>
  <c r="I25" s="1"/>
  <c r="H26"/>
  <c r="I26" s="1"/>
  <c r="H27"/>
  <c r="I27" s="1"/>
  <c r="H28"/>
  <c r="I28" s="1"/>
  <c r="F30"/>
  <c r="H31"/>
  <c r="I31" s="1"/>
  <c r="F33"/>
  <c r="H34"/>
  <c r="I34" s="1"/>
  <c r="I36"/>
  <c r="I37"/>
  <c r="I38"/>
  <c r="I39"/>
  <c r="D47" i="11"/>
  <c r="D52" s="1"/>
  <c r="C116" i="10" l="1"/>
  <c r="C88"/>
  <c r="F103"/>
  <c r="E115"/>
  <c r="D107"/>
  <c r="E113"/>
  <c r="C103"/>
  <c r="E112"/>
  <c r="D94"/>
  <c r="AB1246" i="6"/>
  <c r="AB1169"/>
  <c r="DX71" i="17"/>
  <c r="EL13"/>
  <c r="DY13"/>
  <c r="DY71" s="1"/>
  <c r="AI34"/>
  <c r="JM34"/>
  <c r="SQ34"/>
  <c r="RO34"/>
  <c r="QM34"/>
  <c r="PK34"/>
  <c r="OI34"/>
  <c r="NG34"/>
  <c r="ME34"/>
  <c r="LC34"/>
  <c r="KA34"/>
  <c r="IK34"/>
  <c r="HI34"/>
  <c r="GG34"/>
  <c r="FE34"/>
  <c r="EC34"/>
  <c r="DA34"/>
  <c r="BY34"/>
  <c r="SC34"/>
  <c r="RA34"/>
  <c r="PY34"/>
  <c r="OW34"/>
  <c r="NU34"/>
  <c r="MS34"/>
  <c r="LQ34"/>
  <c r="KO34"/>
  <c r="IY34"/>
  <c r="HW34"/>
  <c r="GU34"/>
  <c r="FS34"/>
  <c r="EQ34"/>
  <c r="DO34"/>
  <c r="CM34"/>
  <c r="AW34"/>
  <c r="G34"/>
  <c r="BK34"/>
  <c r="C1108" i="6"/>
  <c r="C645"/>
  <c r="C73"/>
  <c r="C573"/>
  <c r="C114" i="10"/>
  <c r="C98"/>
  <c r="F115"/>
  <c r="F99"/>
  <c r="E111"/>
  <c r="D117"/>
  <c r="D101"/>
  <c r="E105"/>
  <c r="C97"/>
  <c r="F96"/>
  <c r="E94"/>
  <c r="C112"/>
  <c r="C96"/>
  <c r="F113"/>
  <c r="F97"/>
  <c r="E107"/>
  <c r="D115"/>
  <c r="D99"/>
  <c r="E97"/>
  <c r="C95"/>
  <c r="F94"/>
  <c r="E92"/>
  <c r="C110"/>
  <c r="C94"/>
  <c r="F111"/>
  <c r="F95"/>
  <c r="E103"/>
  <c r="D113"/>
  <c r="D97"/>
  <c r="E91"/>
  <c r="F120"/>
  <c r="F88"/>
  <c r="D118"/>
  <c r="C108"/>
  <c r="C92"/>
  <c r="F109"/>
  <c r="F93"/>
  <c r="E99"/>
  <c r="D111"/>
  <c r="D95"/>
  <c r="C119"/>
  <c r="F118"/>
  <c r="E120"/>
  <c r="D116"/>
  <c r="C106"/>
  <c r="C90"/>
  <c r="F107"/>
  <c r="F91"/>
  <c r="E95"/>
  <c r="D109"/>
  <c r="D93"/>
  <c r="C113"/>
  <c r="F112"/>
  <c r="E114"/>
  <c r="D108"/>
  <c r="U34" i="17"/>
  <c r="TE34"/>
  <c r="K124" i="16"/>
  <c r="C107" i="10"/>
  <c r="C91"/>
  <c r="F106"/>
  <c r="F90"/>
  <c r="E108"/>
  <c r="D120"/>
  <c r="D100"/>
  <c r="D96"/>
  <c r="E117"/>
  <c r="C117"/>
  <c r="C101"/>
  <c r="F116"/>
  <c r="F100"/>
  <c r="E118"/>
  <c r="E100"/>
  <c r="D112"/>
  <c r="D92"/>
  <c r="C115"/>
  <c r="C99"/>
  <c r="F114"/>
  <c r="F98"/>
  <c r="E116"/>
  <c r="E98"/>
  <c r="D110"/>
  <c r="D88"/>
  <c r="E101"/>
  <c r="C109"/>
  <c r="C93"/>
  <c r="F108"/>
  <c r="F92"/>
  <c r="E110"/>
  <c r="E90"/>
  <c r="D102"/>
  <c r="D3" i="5"/>
  <c r="E104" i="10"/>
  <c r="E96"/>
  <c r="E88"/>
  <c r="D114"/>
  <c r="D106"/>
  <c r="D98"/>
  <c r="L36" i="13"/>
  <c r="J7" i="1" s="1"/>
  <c r="K16" i="14"/>
  <c r="J8" i="1"/>
  <c r="D56" i="11"/>
  <c r="D57" s="1"/>
  <c r="G140" i="9"/>
  <c r="G123"/>
  <c r="QM46" i="17" l="1"/>
  <c r="OI46"/>
  <c r="ME46"/>
  <c r="KA46"/>
  <c r="HI46"/>
  <c r="FE46"/>
  <c r="DA46"/>
  <c r="JM46"/>
  <c r="SC46"/>
  <c r="PY46"/>
  <c r="NU46"/>
  <c r="LQ46"/>
  <c r="IY46"/>
  <c r="GU46"/>
  <c r="EQ46"/>
  <c r="CM46"/>
  <c r="RO46"/>
  <c r="PK46"/>
  <c r="NG46"/>
  <c r="LC46"/>
  <c r="IK46"/>
  <c r="GG46"/>
  <c r="EC46"/>
  <c r="BY46"/>
  <c r="BK46"/>
  <c r="SQ46"/>
  <c r="RA46"/>
  <c r="OW46"/>
  <c r="MS46"/>
  <c r="KO46"/>
  <c r="HW46"/>
  <c r="FS46"/>
  <c r="DO46"/>
  <c r="AW46"/>
  <c r="G46"/>
  <c r="SQ63"/>
  <c r="QM63"/>
  <c r="OI63"/>
  <c r="ME63"/>
  <c r="KA63"/>
  <c r="HI63"/>
  <c r="FE63"/>
  <c r="DA63"/>
  <c r="AW63"/>
  <c r="SC63"/>
  <c r="PY63"/>
  <c r="NU63"/>
  <c r="LQ63"/>
  <c r="IY63"/>
  <c r="GU63"/>
  <c r="EQ63"/>
  <c r="CM63"/>
  <c r="G63"/>
  <c r="JM63"/>
  <c r="RO63"/>
  <c r="PK63"/>
  <c r="NG63"/>
  <c r="LC63"/>
  <c r="IK63"/>
  <c r="GG63"/>
  <c r="EC63"/>
  <c r="BY63"/>
  <c r="BK63"/>
  <c r="RA63"/>
  <c r="OW63"/>
  <c r="MS63"/>
  <c r="KO63"/>
  <c r="HW63"/>
  <c r="FS63"/>
  <c r="DO63"/>
  <c r="EL71"/>
  <c r="EZ13"/>
  <c r="EM13"/>
  <c r="EM71" s="1"/>
  <c r="AH31"/>
  <c r="RN31"/>
  <c r="QL31"/>
  <c r="PJ31"/>
  <c r="OH31"/>
  <c r="NF31"/>
  <c r="MD31"/>
  <c r="LB31"/>
  <c r="JZ31"/>
  <c r="IJ31"/>
  <c r="HH31"/>
  <c r="GF31"/>
  <c r="FD31"/>
  <c r="EB31"/>
  <c r="CZ31"/>
  <c r="BX31"/>
  <c r="JL31"/>
  <c r="SP31"/>
  <c r="SB31"/>
  <c r="QZ31"/>
  <c r="PX31"/>
  <c r="OV31"/>
  <c r="NT31"/>
  <c r="MR31"/>
  <c r="LP31"/>
  <c r="KN31"/>
  <c r="IX31"/>
  <c r="HV31"/>
  <c r="GT31"/>
  <c r="FR31"/>
  <c r="EP31"/>
  <c r="DN31"/>
  <c r="CL31"/>
  <c r="BJ31"/>
  <c r="AV31"/>
  <c r="F31"/>
  <c r="AH30"/>
  <c r="JL30"/>
  <c r="SP30"/>
  <c r="RN30"/>
  <c r="QL30"/>
  <c r="PJ30"/>
  <c r="OH30"/>
  <c r="NF30"/>
  <c r="MD30"/>
  <c r="LB30"/>
  <c r="JZ30"/>
  <c r="IJ30"/>
  <c r="HH30"/>
  <c r="GF30"/>
  <c r="FD30"/>
  <c r="EB30"/>
  <c r="CZ30"/>
  <c r="BX30"/>
  <c r="SB30"/>
  <c r="QZ30"/>
  <c r="PX30"/>
  <c r="OV30"/>
  <c r="NT30"/>
  <c r="MR30"/>
  <c r="LP30"/>
  <c r="KN30"/>
  <c r="IX30"/>
  <c r="HV30"/>
  <c r="GT30"/>
  <c r="FR30"/>
  <c r="EP30"/>
  <c r="DN30"/>
  <c r="CL30"/>
  <c r="AV30"/>
  <c r="F30"/>
  <c r="BJ30"/>
  <c r="C574" i="6"/>
  <c r="C74"/>
  <c r="C646"/>
  <c r="C1109"/>
  <c r="AI46" i="17"/>
  <c r="TE46"/>
  <c r="U46"/>
  <c r="AI63"/>
  <c r="TE63"/>
  <c r="U63"/>
  <c r="T30"/>
  <c r="TD30"/>
  <c r="TD31"/>
  <c r="T31"/>
  <c r="K125" i="16"/>
  <c r="J10" i="1"/>
  <c r="E75" i="4"/>
  <c r="H1146" i="6"/>
  <c r="H1102"/>
  <c r="H465"/>
  <c r="H431"/>
  <c r="H368"/>
  <c r="G144"/>
  <c r="H638"/>
  <c r="H639"/>
  <c r="H565"/>
  <c r="H568"/>
  <c r="H269"/>
  <c r="H270"/>
  <c r="H271"/>
  <c r="H273"/>
  <c r="H274"/>
  <c r="H275"/>
  <c r="H276"/>
  <c r="H278"/>
  <c r="H279"/>
  <c r="H280"/>
  <c r="H281"/>
  <c r="H283"/>
  <c r="H284"/>
  <c r="H285"/>
  <c r="H286"/>
  <c r="H287"/>
  <c r="H288"/>
  <c r="H289"/>
  <c r="H290"/>
  <c r="H291"/>
  <c r="H67"/>
  <c r="AC67" s="1"/>
  <c r="H68"/>
  <c r="AC68" s="1"/>
  <c r="G1263"/>
  <c r="G1246"/>
  <c r="G1233"/>
  <c r="G1218"/>
  <c r="G1204"/>
  <c r="G1169"/>
  <c r="G1145"/>
  <c r="G1119"/>
  <c r="G1095"/>
  <c r="G1038"/>
  <c r="G993"/>
  <c r="G953"/>
  <c r="G919"/>
  <c r="G897"/>
  <c r="G871"/>
  <c r="G838"/>
  <c r="G757"/>
  <c r="G725"/>
  <c r="G679"/>
  <c r="G654"/>
  <c r="G618"/>
  <c r="G582"/>
  <c r="G504"/>
  <c r="G464"/>
  <c r="G430"/>
  <c r="G379"/>
  <c r="G317"/>
  <c r="G238"/>
  <c r="G103"/>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D281"/>
  <c r="D282"/>
  <c r="D283"/>
  <c r="D284"/>
  <c r="D285"/>
  <c r="D286"/>
  <c r="D287"/>
  <c r="D288"/>
  <c r="D289"/>
  <c r="D290"/>
  <c r="D291"/>
  <c r="G2"/>
  <c r="EZ71" i="17" l="1"/>
  <c r="FA13"/>
  <c r="FA71" s="1"/>
  <c r="FN13"/>
  <c r="AI33"/>
  <c r="RO33"/>
  <c r="QM33"/>
  <c r="PK33"/>
  <c r="OI33"/>
  <c r="NG33"/>
  <c r="ME33"/>
  <c r="LC33"/>
  <c r="KA33"/>
  <c r="IK33"/>
  <c r="HI33"/>
  <c r="GG33"/>
  <c r="FE33"/>
  <c r="EC33"/>
  <c r="DA33"/>
  <c r="BY33"/>
  <c r="JM33"/>
  <c r="SQ33"/>
  <c r="SC33"/>
  <c r="RA33"/>
  <c r="PY33"/>
  <c r="OW33"/>
  <c r="NU33"/>
  <c r="MS33"/>
  <c r="LQ33"/>
  <c r="KO33"/>
  <c r="IY33"/>
  <c r="HW33"/>
  <c r="GU33"/>
  <c r="FS33"/>
  <c r="EQ33"/>
  <c r="DO33"/>
  <c r="CM33"/>
  <c r="BK33"/>
  <c r="AW33"/>
  <c r="G33"/>
  <c r="AC203" i="6"/>
  <c r="AC219"/>
  <c r="AC221"/>
  <c r="AC223"/>
  <c r="AC225"/>
  <c r="AC227"/>
  <c r="AC229"/>
  <c r="AC231"/>
  <c r="AC233"/>
  <c r="AC235"/>
  <c r="AC220"/>
  <c r="AC224"/>
  <c r="AC228"/>
  <c r="AC232"/>
  <c r="AC236"/>
  <c r="AC292"/>
  <c r="AC294"/>
  <c r="AC296"/>
  <c r="AC298"/>
  <c r="AC300"/>
  <c r="AC302"/>
  <c r="AC304"/>
  <c r="AC306"/>
  <c r="AC308"/>
  <c r="AC310"/>
  <c r="AC312"/>
  <c r="AC314"/>
  <c r="AC316"/>
  <c r="AC346"/>
  <c r="AC348"/>
  <c r="AC350"/>
  <c r="AC352"/>
  <c r="AC354"/>
  <c r="AC356"/>
  <c r="AC372"/>
  <c r="AC374"/>
  <c r="AC376"/>
  <c r="AC378"/>
  <c r="AC414"/>
  <c r="AC416"/>
  <c r="AC418"/>
  <c r="AC420"/>
  <c r="AC422"/>
  <c r="AC424"/>
  <c r="AC426"/>
  <c r="AC428"/>
  <c r="AC454"/>
  <c r="AC456"/>
  <c r="AC458"/>
  <c r="AC460"/>
  <c r="AC462"/>
  <c r="AC495"/>
  <c r="AC497"/>
  <c r="AC499"/>
  <c r="AC501"/>
  <c r="AC503"/>
  <c r="AC507"/>
  <c r="AC522"/>
  <c r="AC527"/>
  <c r="AC539"/>
  <c r="AC541"/>
  <c r="AC549"/>
  <c r="AC552"/>
  <c r="AC554"/>
  <c r="AC561"/>
  <c r="AC567"/>
  <c r="AC570"/>
  <c r="AC572"/>
  <c r="AC574"/>
  <c r="AC576"/>
  <c r="AC578"/>
  <c r="AC580"/>
  <c r="AC586"/>
  <c r="AC591"/>
  <c r="AC596"/>
  <c r="AC600"/>
  <c r="AC602"/>
  <c r="AC608"/>
  <c r="AC610"/>
  <c r="AC612"/>
  <c r="AC614"/>
  <c r="AC616"/>
  <c r="AC640"/>
  <c r="AC642"/>
  <c r="AC644"/>
  <c r="AC646"/>
  <c r="AC648"/>
  <c r="AC650"/>
  <c r="AC652"/>
  <c r="AC667"/>
  <c r="AC669"/>
  <c r="AC671"/>
  <c r="AC673"/>
  <c r="AC675"/>
  <c r="AC677"/>
  <c r="AC710"/>
  <c r="AC712"/>
  <c r="AC714"/>
  <c r="AC716"/>
  <c r="AC718"/>
  <c r="AC720"/>
  <c r="AC722"/>
  <c r="AC724"/>
  <c r="AC741"/>
  <c r="AC743"/>
  <c r="AC745"/>
  <c r="AC747"/>
  <c r="AC749"/>
  <c r="AC751"/>
  <c r="AC753"/>
  <c r="AC755"/>
  <c r="AC823"/>
  <c r="AC825"/>
  <c r="AC827"/>
  <c r="AC829"/>
  <c r="AC831"/>
  <c r="AC833"/>
  <c r="AC835"/>
  <c r="AC837"/>
  <c r="AC858"/>
  <c r="AC860"/>
  <c r="AC862"/>
  <c r="AC864"/>
  <c r="AC866"/>
  <c r="AC868"/>
  <c r="AC870"/>
  <c r="AC885"/>
  <c r="AC887"/>
  <c r="AC889"/>
  <c r="AC891"/>
  <c r="AC893"/>
  <c r="AC895"/>
  <c r="AC907"/>
  <c r="AC909"/>
  <c r="AC911"/>
  <c r="AC913"/>
  <c r="AC915"/>
  <c r="AC917"/>
  <c r="AC942"/>
  <c r="AC944"/>
  <c r="AC946"/>
  <c r="AC948"/>
  <c r="AC950"/>
  <c r="AC952"/>
  <c r="AC981"/>
  <c r="AC983"/>
  <c r="AC985"/>
  <c r="AC987"/>
  <c r="AC989"/>
  <c r="AC991"/>
  <c r="AC1019"/>
  <c r="AC1021"/>
  <c r="AC1023"/>
  <c r="AC1025"/>
  <c r="AC1027"/>
  <c r="AC1029"/>
  <c r="AC1031"/>
  <c r="AC1033"/>
  <c r="AC1035"/>
  <c r="AC1037"/>
  <c r="AC1082"/>
  <c r="AC1084"/>
  <c r="AC1086"/>
  <c r="AC1088"/>
  <c r="AC1090"/>
  <c r="AC1092"/>
  <c r="AC1094"/>
  <c r="AC1103"/>
  <c r="AC1105"/>
  <c r="AC1107"/>
  <c r="AC1109"/>
  <c r="AC1111"/>
  <c r="AC1113"/>
  <c r="AC1115"/>
  <c r="AC1117"/>
  <c r="AC1130"/>
  <c r="AC1132"/>
  <c r="AC1134"/>
  <c r="AC1136"/>
  <c r="AC1138"/>
  <c r="AC1140"/>
  <c r="AC1142"/>
  <c r="AC1144"/>
  <c r="AC1158"/>
  <c r="AC1160"/>
  <c r="AC1162"/>
  <c r="AC1164"/>
  <c r="AC1166"/>
  <c r="AC1168"/>
  <c r="AC1173"/>
  <c r="AC1175"/>
  <c r="AC1177"/>
  <c r="AC1179"/>
  <c r="AC1181"/>
  <c r="AC1183"/>
  <c r="AC1194"/>
  <c r="AC1196"/>
  <c r="AC1198"/>
  <c r="AC1200"/>
  <c r="AC1202"/>
  <c r="AC1207"/>
  <c r="AC1209"/>
  <c r="AC1211"/>
  <c r="AC1213"/>
  <c r="AC1215"/>
  <c r="AC1217"/>
  <c r="AC1224"/>
  <c r="AC1226"/>
  <c r="AC1228"/>
  <c r="AC1230"/>
  <c r="AC1232"/>
  <c r="AC1236"/>
  <c r="AC1238"/>
  <c r="AC1240"/>
  <c r="AC1242"/>
  <c r="AC1244"/>
  <c r="AC1248"/>
  <c r="AC1251"/>
  <c r="AC1253"/>
  <c r="AC1255"/>
  <c r="AC1257"/>
  <c r="AC1259"/>
  <c r="AC1261"/>
  <c r="AC1265"/>
  <c r="AC1267"/>
  <c r="AC1269"/>
  <c r="AC1271"/>
  <c r="AC1273"/>
  <c r="AC168"/>
  <c r="AC170"/>
  <c r="AC172"/>
  <c r="AC174"/>
  <c r="AC176"/>
  <c r="AC178"/>
  <c r="AC180"/>
  <c r="AC182"/>
  <c r="AC184"/>
  <c r="AC124"/>
  <c r="AC126"/>
  <c r="AC128"/>
  <c r="AC130"/>
  <c r="AC132"/>
  <c r="AC134"/>
  <c r="AC136"/>
  <c r="AC138"/>
  <c r="AC140"/>
  <c r="AC142"/>
  <c r="AC69"/>
  <c r="AC71"/>
  <c r="AC73"/>
  <c r="AC75"/>
  <c r="AC77"/>
  <c r="AC79"/>
  <c r="AC81"/>
  <c r="AC83"/>
  <c r="AC85"/>
  <c r="AC87"/>
  <c r="AC89"/>
  <c r="AC91"/>
  <c r="AC93"/>
  <c r="AC95"/>
  <c r="AC208"/>
  <c r="AC222"/>
  <c r="AC226"/>
  <c r="AC230"/>
  <c r="AC234"/>
  <c r="AC237"/>
  <c r="AC293"/>
  <c r="AC295"/>
  <c r="AC297"/>
  <c r="AC299"/>
  <c r="AC301"/>
  <c r="AC303"/>
  <c r="AC305"/>
  <c r="AC307"/>
  <c r="AC309"/>
  <c r="AC311"/>
  <c r="AC313"/>
  <c r="AC315"/>
  <c r="AC345"/>
  <c r="AC347"/>
  <c r="AC349"/>
  <c r="AC351"/>
  <c r="AC353"/>
  <c r="AC355"/>
  <c r="AC357"/>
  <c r="AC373"/>
  <c r="AC375"/>
  <c r="AC377"/>
  <c r="AC413"/>
  <c r="AC415"/>
  <c r="AC417"/>
  <c r="AC419"/>
  <c r="AC421"/>
  <c r="AC423"/>
  <c r="AC425"/>
  <c r="AC427"/>
  <c r="AC429"/>
  <c r="AC455"/>
  <c r="AC457"/>
  <c r="AC459"/>
  <c r="AC461"/>
  <c r="AC463"/>
  <c r="AC496"/>
  <c r="AC498"/>
  <c r="AC500"/>
  <c r="AC502"/>
  <c r="AC506"/>
  <c r="AC510"/>
  <c r="AC525"/>
  <c r="AC533"/>
  <c r="AC540"/>
  <c r="AC544"/>
  <c r="AC550"/>
  <c r="AC553"/>
  <c r="AC558"/>
  <c r="AC563"/>
  <c r="AC569"/>
  <c r="AC571"/>
  <c r="AC573"/>
  <c r="AC575"/>
  <c r="AC577"/>
  <c r="AC579"/>
  <c r="AC581"/>
  <c r="AC587"/>
  <c r="AC593"/>
  <c r="AC599"/>
  <c r="AC601"/>
  <c r="AC607"/>
  <c r="AC609"/>
  <c r="AC611"/>
  <c r="AC613"/>
  <c r="AC615"/>
  <c r="AC617"/>
  <c r="AC641"/>
  <c r="AC643"/>
  <c r="AC645"/>
  <c r="AC647"/>
  <c r="AC649"/>
  <c r="AC651"/>
  <c r="AC653"/>
  <c r="AC668"/>
  <c r="AC670"/>
  <c r="AC672"/>
  <c r="AC674"/>
  <c r="AC676"/>
  <c r="AC678"/>
  <c r="AC711"/>
  <c r="AC713"/>
  <c r="AC715"/>
  <c r="AC717"/>
  <c r="AC719"/>
  <c r="AC721"/>
  <c r="AC723"/>
  <c r="AC740"/>
  <c r="AC742"/>
  <c r="AC744"/>
  <c r="AC746"/>
  <c r="AC748"/>
  <c r="AC750"/>
  <c r="AC752"/>
  <c r="AC754"/>
  <c r="AC756"/>
  <c r="AC824"/>
  <c r="AC826"/>
  <c r="AC828"/>
  <c r="AC830"/>
  <c r="AC832"/>
  <c r="AC834"/>
  <c r="AC836"/>
  <c r="AC857"/>
  <c r="AC859"/>
  <c r="AC861"/>
  <c r="AC863"/>
  <c r="AC865"/>
  <c r="AC867"/>
  <c r="AC869"/>
  <c r="AC884"/>
  <c r="AC886"/>
  <c r="AC888"/>
  <c r="AC890"/>
  <c r="AC892"/>
  <c r="AC894"/>
  <c r="AC896"/>
  <c r="AC908"/>
  <c r="AC910"/>
  <c r="AC912"/>
  <c r="AC914"/>
  <c r="AC916"/>
  <c r="AC918"/>
  <c r="AC943"/>
  <c r="AC945"/>
  <c r="AC947"/>
  <c r="AC949"/>
  <c r="AC951"/>
  <c r="AC980"/>
  <c r="AC982"/>
  <c r="AC984"/>
  <c r="AC986"/>
  <c r="AC988"/>
  <c r="AC990"/>
  <c r="AC992"/>
  <c r="AC1020"/>
  <c r="AC1022"/>
  <c r="AC1024"/>
  <c r="AC1026"/>
  <c r="AC1028"/>
  <c r="AC1030"/>
  <c r="AC1032"/>
  <c r="AC1034"/>
  <c r="AC1036"/>
  <c r="AC1081"/>
  <c r="AC1083"/>
  <c r="AC1085"/>
  <c r="AC1087"/>
  <c r="AC1089"/>
  <c r="AC1091"/>
  <c r="AC1093"/>
  <c r="AC1098"/>
  <c r="AC1104"/>
  <c r="AC1106"/>
  <c r="AC1108"/>
  <c r="AC1110"/>
  <c r="AC1112"/>
  <c r="AC1114"/>
  <c r="AC1116"/>
  <c r="AC1118"/>
  <c r="AC1131"/>
  <c r="AC1133"/>
  <c r="AC1135"/>
  <c r="AC1137"/>
  <c r="AC1139"/>
  <c r="AC1141"/>
  <c r="AC1143"/>
  <c r="AC1157"/>
  <c r="AC1159"/>
  <c r="AC1161"/>
  <c r="AC1163"/>
  <c r="AC1165"/>
  <c r="AC1167"/>
  <c r="AC1172"/>
  <c r="AC1174"/>
  <c r="AC1176"/>
  <c r="AC1178"/>
  <c r="AC1180"/>
  <c r="AC1182"/>
  <c r="AC1184"/>
  <c r="AC1195"/>
  <c r="AC1197"/>
  <c r="AC1199"/>
  <c r="AC1201"/>
  <c r="AC1203"/>
  <c r="AC1208"/>
  <c r="AC1210"/>
  <c r="AC1212"/>
  <c r="AC1214"/>
  <c r="AC1216"/>
  <c r="AC1223"/>
  <c r="AC1225"/>
  <c r="AC1227"/>
  <c r="AC1229"/>
  <c r="AC1231"/>
  <c r="AC1235"/>
  <c r="AC1237"/>
  <c r="AC1239"/>
  <c r="AC1241"/>
  <c r="AC1243"/>
  <c r="AC1245"/>
  <c r="AC1250"/>
  <c r="AC1252"/>
  <c r="AC1254"/>
  <c r="AC1256"/>
  <c r="AC1258"/>
  <c r="AC1260"/>
  <c r="AC1262"/>
  <c r="AC1266"/>
  <c r="AC1268"/>
  <c r="AC1270"/>
  <c r="AC1272"/>
  <c r="AC1274"/>
  <c r="AC169"/>
  <c r="AC171"/>
  <c r="AC173"/>
  <c r="AC175"/>
  <c r="AC177"/>
  <c r="AC179"/>
  <c r="AC181"/>
  <c r="AC183"/>
  <c r="AC123"/>
  <c r="AC125"/>
  <c r="AC127"/>
  <c r="AC129"/>
  <c r="AC131"/>
  <c r="AC133"/>
  <c r="AC135"/>
  <c r="AC137"/>
  <c r="AC139"/>
  <c r="AC141"/>
  <c r="AC143"/>
  <c r="AC70"/>
  <c r="AC72"/>
  <c r="AC74"/>
  <c r="AC76"/>
  <c r="AC78"/>
  <c r="AC80"/>
  <c r="AC82"/>
  <c r="AC84"/>
  <c r="AC86"/>
  <c r="AC88"/>
  <c r="AC90"/>
  <c r="AC92"/>
  <c r="AC94"/>
  <c r="AC96"/>
  <c r="AC98"/>
  <c r="AC100"/>
  <c r="AC102"/>
  <c r="AC97"/>
  <c r="AC99"/>
  <c r="AC101"/>
  <c r="AC14"/>
  <c r="AC56"/>
  <c r="AC118"/>
  <c r="AC12"/>
  <c r="AC42"/>
  <c r="AC104"/>
  <c r="AC4"/>
  <c r="AC35"/>
  <c r="AC66"/>
  <c r="AC3"/>
  <c r="AC25"/>
  <c r="AC63"/>
  <c r="AC120"/>
  <c r="C1110"/>
  <c r="C647"/>
  <c r="C75"/>
  <c r="C575"/>
  <c r="L68"/>
  <c r="M68"/>
  <c r="L290"/>
  <c r="M290"/>
  <c r="AB290" s="1"/>
  <c r="L288"/>
  <c r="M288"/>
  <c r="AB288" s="1"/>
  <c r="L286"/>
  <c r="M286"/>
  <c r="AB286" s="1"/>
  <c r="L284"/>
  <c r="M284"/>
  <c r="AB284" s="1"/>
  <c r="L281"/>
  <c r="M281"/>
  <c r="AB281" s="1"/>
  <c r="L279"/>
  <c r="M279"/>
  <c r="AB279" s="1"/>
  <c r="L276"/>
  <c r="M276"/>
  <c r="AB276" s="1"/>
  <c r="L274"/>
  <c r="M274"/>
  <c r="AB274" s="1"/>
  <c r="L271"/>
  <c r="M271"/>
  <c r="AB271" s="1"/>
  <c r="L269"/>
  <c r="M269"/>
  <c r="AB269" s="1"/>
  <c r="L565"/>
  <c r="M565"/>
  <c r="AB565" s="1"/>
  <c r="L638"/>
  <c r="M638"/>
  <c r="AB638" s="1"/>
  <c r="L368"/>
  <c r="M368"/>
  <c r="AB368" s="1"/>
  <c r="L465"/>
  <c r="M465"/>
  <c r="L1146"/>
  <c r="M1146"/>
  <c r="AB1146" s="1"/>
  <c r="L67"/>
  <c r="M67"/>
  <c r="AB67" s="1"/>
  <c r="L291"/>
  <c r="M291"/>
  <c r="L289"/>
  <c r="M289"/>
  <c r="AB289" s="1"/>
  <c r="L287"/>
  <c r="M287"/>
  <c r="AB287" s="1"/>
  <c r="L285"/>
  <c r="M285"/>
  <c r="AB285" s="1"/>
  <c r="L283"/>
  <c r="M283"/>
  <c r="AB283" s="1"/>
  <c r="L280"/>
  <c r="M280"/>
  <c r="AB280" s="1"/>
  <c r="L278"/>
  <c r="M278"/>
  <c r="AB278" s="1"/>
  <c r="L275"/>
  <c r="M275"/>
  <c r="AB275" s="1"/>
  <c r="L273"/>
  <c r="M273"/>
  <c r="AB273" s="1"/>
  <c r="L270"/>
  <c r="M270"/>
  <c r="AB270" s="1"/>
  <c r="L568"/>
  <c r="M568"/>
  <c r="AB568" s="1"/>
  <c r="L639"/>
  <c r="M639"/>
  <c r="L431"/>
  <c r="M431"/>
  <c r="AB431" s="1"/>
  <c r="L1102"/>
  <c r="M1102"/>
  <c r="AB1102" s="1"/>
  <c r="TE33" i="17"/>
  <c r="U33"/>
  <c r="K126" i="16"/>
  <c r="AC290" i="6"/>
  <c r="AC288"/>
  <c r="AC286"/>
  <c r="AC284"/>
  <c r="AC282"/>
  <c r="AC280"/>
  <c r="AC278"/>
  <c r="AC276"/>
  <c r="AC274"/>
  <c r="AC272"/>
  <c r="AC270"/>
  <c r="AC568"/>
  <c r="AC565"/>
  <c r="AC638"/>
  <c r="AC1102"/>
  <c r="AC291"/>
  <c r="AC289"/>
  <c r="AC287"/>
  <c r="AC285"/>
  <c r="AC283"/>
  <c r="AC281"/>
  <c r="AC279"/>
  <c r="AC277"/>
  <c r="AC275"/>
  <c r="AC273"/>
  <c r="AC271"/>
  <c r="AC269"/>
  <c r="AC566"/>
  <c r="AC639"/>
  <c r="FN71" i="17" l="1"/>
  <c r="FO13"/>
  <c r="FO71" s="1"/>
  <c r="GB13"/>
  <c r="R465" i="6"/>
  <c r="AB465"/>
  <c r="R291"/>
  <c r="AB291"/>
  <c r="R639"/>
  <c r="AB639"/>
  <c r="R68"/>
  <c r="AB68"/>
  <c r="C576"/>
  <c r="C76"/>
  <c r="C648"/>
  <c r="C1111"/>
  <c r="R1102"/>
  <c r="R568"/>
  <c r="R565"/>
  <c r="K127" i="16"/>
  <c r="R269" i="6"/>
  <c r="R271"/>
  <c r="R273"/>
  <c r="R275"/>
  <c r="R277"/>
  <c r="R279"/>
  <c r="R281"/>
  <c r="R283"/>
  <c r="R285"/>
  <c r="R287"/>
  <c r="R289"/>
  <c r="R67"/>
  <c r="R638"/>
  <c r="R270"/>
  <c r="R272"/>
  <c r="R274"/>
  <c r="R276"/>
  <c r="R278"/>
  <c r="R280"/>
  <c r="R282"/>
  <c r="R284"/>
  <c r="R286"/>
  <c r="R288"/>
  <c r="R290"/>
  <c r="GB71" i="17" l="1"/>
  <c r="GP13"/>
  <c r="GC13"/>
  <c r="GC71" s="1"/>
  <c r="C77" i="6"/>
  <c r="C1112"/>
  <c r="C649"/>
  <c r="C577"/>
  <c r="K128" i="16"/>
  <c r="E14" i="9"/>
  <c r="E15"/>
  <c r="E16"/>
  <c r="E17"/>
  <c r="E18"/>
  <c r="E19"/>
  <c r="E20"/>
  <c r="E21"/>
  <c r="E22"/>
  <c r="E23"/>
  <c r="E24"/>
  <c r="E25"/>
  <c r="E26"/>
  <c r="E27"/>
  <c r="E28"/>
  <c r="E29"/>
  <c r="B146" i="5"/>
  <c r="GP71" i="17" l="1"/>
  <c r="HD13"/>
  <c r="GQ13"/>
  <c r="GQ71" s="1"/>
  <c r="C650" i="6"/>
  <c r="C1113"/>
  <c r="C78"/>
  <c r="C578"/>
  <c r="K129" i="16"/>
  <c r="G111" i="9"/>
  <c r="G110"/>
  <c r="F109"/>
  <c r="F108"/>
  <c r="F107"/>
  <c r="HD71" i="17" l="1"/>
  <c r="HE13"/>
  <c r="HE71" s="1"/>
  <c r="HR13"/>
  <c r="C579" i="6"/>
  <c r="C651"/>
  <c r="C79"/>
  <c r="C1114"/>
  <c r="K130" i="16"/>
  <c r="C126" i="10"/>
  <c r="C89" s="1"/>
  <c r="D126"/>
  <c r="D89" s="1"/>
  <c r="HR71" i="17" l="1"/>
  <c r="HS13"/>
  <c r="HS71" s="1"/>
  <c r="IF13"/>
  <c r="C1115" i="6"/>
  <c r="C80"/>
  <c r="C652"/>
  <c r="C580"/>
  <c r="K131" i="16"/>
  <c r="C7" i="1"/>
  <c r="X141" i="6" s="1"/>
  <c r="F86" i="10"/>
  <c r="H86" s="1"/>
  <c r="L88"/>
  <c r="L89"/>
  <c r="L90"/>
  <c r="L91"/>
  <c r="L92"/>
  <c r="L93"/>
  <c r="L94"/>
  <c r="L95"/>
  <c r="L96"/>
  <c r="L97"/>
  <c r="L98"/>
  <c r="L99"/>
  <c r="L100"/>
  <c r="L101"/>
  <c r="L102"/>
  <c r="L103"/>
  <c r="L104"/>
  <c r="L105"/>
  <c r="L106"/>
  <c r="L107"/>
  <c r="L108"/>
  <c r="L109"/>
  <c r="L110"/>
  <c r="L111"/>
  <c r="L112"/>
  <c r="L113"/>
  <c r="L114"/>
  <c r="L115"/>
  <c r="L116"/>
  <c r="L117"/>
  <c r="L118"/>
  <c r="L119"/>
  <c r="L120"/>
  <c r="C85"/>
  <c r="C84"/>
  <c r="H215"/>
  <c r="C166" s="1"/>
  <c r="C167" s="1"/>
  <c r="G215"/>
  <c r="F215"/>
  <c r="E215"/>
  <c r="D215"/>
  <c r="C215"/>
  <c r="I196" s="1"/>
  <c r="L214"/>
  <c r="K214"/>
  <c r="J214"/>
  <c r="I214"/>
  <c r="L213"/>
  <c r="K213"/>
  <c r="J213"/>
  <c r="I213"/>
  <c r="L212"/>
  <c r="K212"/>
  <c r="J212"/>
  <c r="I212"/>
  <c r="L211"/>
  <c r="K211"/>
  <c r="J211"/>
  <c r="I211"/>
  <c r="L210"/>
  <c r="K210"/>
  <c r="J210"/>
  <c r="I210"/>
  <c r="L208"/>
  <c r="K208"/>
  <c r="J208"/>
  <c r="I208"/>
  <c r="L207"/>
  <c r="K207"/>
  <c r="J207"/>
  <c r="I207"/>
  <c r="L206"/>
  <c r="K206"/>
  <c r="J206"/>
  <c r="I206"/>
  <c r="L205"/>
  <c r="K205"/>
  <c r="J205"/>
  <c r="I205"/>
  <c r="L204"/>
  <c r="K204"/>
  <c r="J204"/>
  <c r="I204"/>
  <c r="L203"/>
  <c r="K203"/>
  <c r="J203"/>
  <c r="I203"/>
  <c r="L202"/>
  <c r="K202"/>
  <c r="J202"/>
  <c r="I202"/>
  <c r="L201"/>
  <c r="K201"/>
  <c r="J201"/>
  <c r="I201"/>
  <c r="L200"/>
  <c r="K200"/>
  <c r="J200"/>
  <c r="I200"/>
  <c r="L199"/>
  <c r="K199"/>
  <c r="J199"/>
  <c r="I199"/>
  <c r="L198"/>
  <c r="K198"/>
  <c r="J198"/>
  <c r="I198"/>
  <c r="L197"/>
  <c r="K197"/>
  <c r="J197"/>
  <c r="I197"/>
  <c r="L195"/>
  <c r="K195"/>
  <c r="J195"/>
  <c r="I195"/>
  <c r="L194"/>
  <c r="K194"/>
  <c r="J194"/>
  <c r="I194"/>
  <c r="L193"/>
  <c r="K193"/>
  <c r="J193"/>
  <c r="I193"/>
  <c r="L192"/>
  <c r="K192"/>
  <c r="J192"/>
  <c r="I192"/>
  <c r="L191"/>
  <c r="K191"/>
  <c r="J191"/>
  <c r="I191"/>
  <c r="L190"/>
  <c r="K190"/>
  <c r="J190"/>
  <c r="I190"/>
  <c r="L189"/>
  <c r="K189"/>
  <c r="J189"/>
  <c r="I189"/>
  <c r="L188"/>
  <c r="K188"/>
  <c r="J188"/>
  <c r="I188"/>
  <c r="L187"/>
  <c r="K187"/>
  <c r="J187"/>
  <c r="I187"/>
  <c r="L186"/>
  <c r="K186"/>
  <c r="J186"/>
  <c r="I186"/>
  <c r="L185"/>
  <c r="K185"/>
  <c r="J185"/>
  <c r="I185"/>
  <c r="L184"/>
  <c r="K184"/>
  <c r="J184"/>
  <c r="I184"/>
  <c r="L183"/>
  <c r="K183"/>
  <c r="J183"/>
  <c r="I183"/>
  <c r="L182"/>
  <c r="K182"/>
  <c r="J182"/>
  <c r="I182"/>
  <c r="L181"/>
  <c r="K181"/>
  <c r="J181"/>
  <c r="I181"/>
  <c r="Q180"/>
  <c r="P180"/>
  <c r="O180"/>
  <c r="N180"/>
  <c r="E172"/>
  <c r="E173" s="1"/>
  <c r="D172"/>
  <c r="D173" s="1"/>
  <c r="C172"/>
  <c r="C173" s="1"/>
  <c r="F171"/>
  <c r="F172" s="1"/>
  <c r="F173" s="1"/>
  <c r="C165"/>
  <c r="G120"/>
  <c r="G119"/>
  <c r="G118"/>
  <c r="G117"/>
  <c r="G116"/>
  <c r="G115"/>
  <c r="G114"/>
  <c r="G113"/>
  <c r="G112"/>
  <c r="G111"/>
  <c r="G110"/>
  <c r="G109"/>
  <c r="G108"/>
  <c r="G107"/>
  <c r="G106"/>
  <c r="G105"/>
  <c r="G104"/>
  <c r="G103"/>
  <c r="G102"/>
  <c r="G101"/>
  <c r="G100"/>
  <c r="G99"/>
  <c r="G98"/>
  <c r="G97"/>
  <c r="G96"/>
  <c r="G95"/>
  <c r="G94"/>
  <c r="G93"/>
  <c r="G92"/>
  <c r="G91"/>
  <c r="G90"/>
  <c r="G89"/>
  <c r="G88"/>
  <c r="G73"/>
  <c r="G71"/>
  <c r="G67"/>
  <c r="G68" s="1"/>
  <c r="G65"/>
  <c r="G53"/>
  <c r="G54" s="1"/>
  <c r="G55" s="1"/>
  <c r="G56" s="1"/>
  <c r="G57" s="1"/>
  <c r="G58" s="1"/>
  <c r="G59" s="1"/>
  <c r="G60" s="1"/>
  <c r="G61" s="1"/>
  <c r="G62" s="1"/>
  <c r="G63" s="1"/>
  <c r="G48"/>
  <c r="G49" s="1"/>
  <c r="G50" s="1"/>
  <c r="G46"/>
  <c r="G40"/>
  <c r="G41" s="1"/>
  <c r="G42" s="1"/>
  <c r="G38"/>
  <c r="G35"/>
  <c r="G36" s="1"/>
  <c r="G32"/>
  <c r="G28"/>
  <c r="G29" s="1"/>
  <c r="G26"/>
  <c r="G22"/>
  <c r="G23" s="1"/>
  <c r="G24" s="1"/>
  <c r="G18"/>
  <c r="G11"/>
  <c r="G12" s="1"/>
  <c r="G13" s="1"/>
  <c r="G14" s="1"/>
  <c r="G15" s="1"/>
  <c r="G16" s="1"/>
  <c r="G6"/>
  <c r="G7" s="1"/>
  <c r="E11" i="9"/>
  <c r="D19"/>
  <c r="D20"/>
  <c r="D21"/>
  <c r="D22"/>
  <c r="D23"/>
  <c r="D24"/>
  <c r="D25"/>
  <c r="D26"/>
  <c r="D27"/>
  <c r="D28"/>
  <c r="D29"/>
  <c r="C14"/>
  <c r="C15"/>
  <c r="C16"/>
  <c r="C17"/>
  <c r="C18"/>
  <c r="C19"/>
  <c r="C20"/>
  <c r="C21"/>
  <c r="C22"/>
  <c r="C23"/>
  <c r="C24"/>
  <c r="C25"/>
  <c r="C26"/>
  <c r="C27"/>
  <c r="C28"/>
  <c r="C29"/>
  <c r="J130"/>
  <c r="K130" s="1"/>
  <c r="J131"/>
  <c r="J132"/>
  <c r="J133"/>
  <c r="J134"/>
  <c r="K134" s="1"/>
  <c r="X79" i="6" l="1"/>
  <c r="X78"/>
  <c r="X68"/>
  <c r="X72"/>
  <c r="X123"/>
  <c r="X132"/>
  <c r="X142"/>
  <c r="X137"/>
  <c r="X133"/>
  <c r="X143"/>
  <c r="X579"/>
  <c r="X77"/>
  <c r="X75"/>
  <c r="X71"/>
  <c r="X131"/>
  <c r="X140"/>
  <c r="X128"/>
  <c r="X130"/>
  <c r="IG13" i="17"/>
  <c r="IG71" s="1"/>
  <c r="IF71"/>
  <c r="IT13"/>
  <c r="X1258" i="6"/>
  <c r="X1255"/>
  <c r="X1260"/>
  <c r="X1249"/>
  <c r="X989"/>
  <c r="X984"/>
  <c r="X985"/>
  <c r="X549"/>
  <c r="X541"/>
  <c r="X539"/>
  <c r="X527"/>
  <c r="X540"/>
  <c r="X546"/>
  <c r="X562"/>
  <c r="X512"/>
  <c r="X509"/>
  <c r="X519"/>
  <c r="X569"/>
  <c r="X1199"/>
  <c r="X1200"/>
  <c r="X1161"/>
  <c r="X1166"/>
  <c r="X1163"/>
  <c r="X1213"/>
  <c r="X1215"/>
  <c r="X1216"/>
  <c r="X1089"/>
  <c r="X1091"/>
  <c r="X1085"/>
  <c r="X1090"/>
  <c r="X677"/>
  <c r="X669"/>
  <c r="X672"/>
  <c r="X591"/>
  <c r="X602"/>
  <c r="X599"/>
  <c r="X614"/>
  <c r="X596"/>
  <c r="X583"/>
  <c r="X595"/>
  <c r="X1230"/>
  <c r="X1226"/>
  <c r="X571"/>
  <c r="X588"/>
  <c r="X1250"/>
  <c r="X1262"/>
  <c r="X1252"/>
  <c r="X1247"/>
  <c r="X981"/>
  <c r="X988"/>
  <c r="X991"/>
  <c r="X563"/>
  <c r="X558"/>
  <c r="X553"/>
  <c r="X550"/>
  <c r="X544"/>
  <c r="X551"/>
  <c r="X508"/>
  <c r="X528"/>
  <c r="X516"/>
  <c r="X534"/>
  <c r="X570"/>
  <c r="X1203"/>
  <c r="X1198"/>
  <c r="X1160"/>
  <c r="X1158"/>
  <c r="X1162"/>
  <c r="X1212"/>
  <c r="X1207"/>
  <c r="X1208"/>
  <c r="X1088"/>
  <c r="X1083"/>
  <c r="X1092"/>
  <c r="X1081"/>
  <c r="X676"/>
  <c r="X675"/>
  <c r="X671"/>
  <c r="X615"/>
  <c r="X586"/>
  <c r="X610"/>
  <c r="X613"/>
  <c r="X593"/>
  <c r="X606"/>
  <c r="X1228"/>
  <c r="X1225"/>
  <c r="X572"/>
  <c r="X1257"/>
  <c r="X1248"/>
  <c r="X1261"/>
  <c r="X1259"/>
  <c r="X990"/>
  <c r="X987"/>
  <c r="X980"/>
  <c r="X983"/>
  <c r="X510"/>
  <c r="X506"/>
  <c r="X533"/>
  <c r="X522"/>
  <c r="X543"/>
  <c r="X536"/>
  <c r="X517"/>
  <c r="X523"/>
  <c r="X530"/>
  <c r="X566"/>
  <c r="X1194"/>
  <c r="X1195"/>
  <c r="X1196"/>
  <c r="X1167"/>
  <c r="X1165"/>
  <c r="X1168"/>
  <c r="X1210"/>
  <c r="X1211"/>
  <c r="X1214"/>
  <c r="X1094"/>
  <c r="X1087"/>
  <c r="X1084"/>
  <c r="X1080"/>
  <c r="X668"/>
  <c r="X667"/>
  <c r="X670"/>
  <c r="X607"/>
  <c r="X601"/>
  <c r="X617"/>
  <c r="X612"/>
  <c r="X608"/>
  <c r="X603"/>
  <c r="X1231"/>
  <c r="X1229"/>
  <c r="X1232"/>
  <c r="X1254"/>
  <c r="X1256"/>
  <c r="X1253"/>
  <c r="X1251"/>
  <c r="X982"/>
  <c r="X992"/>
  <c r="X986"/>
  <c r="X525"/>
  <c r="X561"/>
  <c r="X554"/>
  <c r="X552"/>
  <c r="X507"/>
  <c r="X548"/>
  <c r="X537"/>
  <c r="X521"/>
  <c r="X520"/>
  <c r="X514"/>
  <c r="X567"/>
  <c r="X1201"/>
  <c r="X1202"/>
  <c r="X1197"/>
  <c r="X1159"/>
  <c r="X1164"/>
  <c r="X1157"/>
  <c r="X1217"/>
  <c r="X1209"/>
  <c r="X1206"/>
  <c r="X1086"/>
  <c r="X1093"/>
  <c r="X1082"/>
  <c r="X678"/>
  <c r="X673"/>
  <c r="X674"/>
  <c r="X616"/>
  <c r="X587"/>
  <c r="X600"/>
  <c r="X609"/>
  <c r="X611"/>
  <c r="X605"/>
  <c r="X592"/>
  <c r="X1223"/>
  <c r="X1227"/>
  <c r="X1224"/>
  <c r="X644"/>
  <c r="X864"/>
  <c r="X866"/>
  <c r="X861"/>
  <c r="X857"/>
  <c r="X459"/>
  <c r="X455"/>
  <c r="X499"/>
  <c r="X501"/>
  <c r="X1265"/>
  <c r="X1269"/>
  <c r="X1273"/>
  <c r="X236"/>
  <c r="X208"/>
  <c r="X229"/>
  <c r="X233"/>
  <c r="X230"/>
  <c r="X952"/>
  <c r="X949"/>
  <c r="X948"/>
  <c r="X1020"/>
  <c r="X1033"/>
  <c r="X1029"/>
  <c r="X1034"/>
  <c r="X1022"/>
  <c r="X174"/>
  <c r="X180"/>
  <c r="X178"/>
  <c r="X176"/>
  <c r="X908"/>
  <c r="X913"/>
  <c r="X909"/>
  <c r="X1103"/>
  <c r="X751"/>
  <c r="X756"/>
  <c r="X747"/>
  <c r="X750"/>
  <c r="X743"/>
  <c r="X304"/>
  <c r="X301"/>
  <c r="X306"/>
  <c r="X295"/>
  <c r="X308"/>
  <c r="X299"/>
  <c r="X351"/>
  <c r="X345"/>
  <c r="X356"/>
  <c r="X888"/>
  <c r="X885"/>
  <c r="X893"/>
  <c r="X883"/>
  <c r="X421"/>
  <c r="X428"/>
  <c r="X425"/>
  <c r="X415"/>
  <c r="X712"/>
  <c r="X716"/>
  <c r="X713"/>
  <c r="X722"/>
  <c r="X642"/>
  <c r="X1238"/>
  <c r="X1242"/>
  <c r="X1237"/>
  <c r="X832"/>
  <c r="X836"/>
  <c r="X823"/>
  <c r="X835"/>
  <c r="X378"/>
  <c r="X1138"/>
  <c r="X1144"/>
  <c r="X1141"/>
  <c r="X1139"/>
  <c r="X1173"/>
  <c r="X1175"/>
  <c r="X1176"/>
  <c r="X1171"/>
  <c r="X863"/>
  <c r="X870"/>
  <c r="X859"/>
  <c r="X457"/>
  <c r="X458"/>
  <c r="X462"/>
  <c r="X498"/>
  <c r="X496"/>
  <c r="X1266"/>
  <c r="X1270"/>
  <c r="X1274"/>
  <c r="X228"/>
  <c r="X232"/>
  <c r="X219"/>
  <c r="X225"/>
  <c r="X221"/>
  <c r="X944"/>
  <c r="X945"/>
  <c r="X947"/>
  <c r="X1035"/>
  <c r="X1025"/>
  <c r="X1021"/>
  <c r="X1026"/>
  <c r="X1023"/>
  <c r="X173"/>
  <c r="X172"/>
  <c r="X177"/>
  <c r="X181"/>
  <c r="X915"/>
  <c r="X912"/>
  <c r="X918"/>
  <c r="X1104"/>
  <c r="X742"/>
  <c r="X748"/>
  <c r="X754"/>
  <c r="X753"/>
  <c r="X313"/>
  <c r="X296"/>
  <c r="X316"/>
  <c r="X298"/>
  <c r="X310"/>
  <c r="X300"/>
  <c r="X297"/>
  <c r="X349"/>
  <c r="X352"/>
  <c r="X354"/>
  <c r="X895"/>
  <c r="X892"/>
  <c r="X884"/>
  <c r="X423"/>
  <c r="X426"/>
  <c r="X420"/>
  <c r="X417"/>
  <c r="X413"/>
  <c r="X718"/>
  <c r="X723"/>
  <c r="X719"/>
  <c r="X714"/>
  <c r="X643"/>
  <c r="X1244"/>
  <c r="X1241"/>
  <c r="X1234"/>
  <c r="X824"/>
  <c r="X828"/>
  <c r="X830"/>
  <c r="X372"/>
  <c r="X377"/>
  <c r="X1137"/>
  <c r="X1136"/>
  <c r="X1133"/>
  <c r="X1131"/>
  <c r="X1180"/>
  <c r="X1179"/>
  <c r="X1183"/>
  <c r="X645"/>
  <c r="X868"/>
  <c r="X862"/>
  <c r="X867"/>
  <c r="X454"/>
  <c r="X456"/>
  <c r="X460"/>
  <c r="X497"/>
  <c r="X503"/>
  <c r="X1267"/>
  <c r="X1271"/>
  <c r="X1264"/>
  <c r="X235"/>
  <c r="X224"/>
  <c r="X234"/>
  <c r="X231"/>
  <c r="X220"/>
  <c r="X951"/>
  <c r="X943"/>
  <c r="X946"/>
  <c r="X1027"/>
  <c r="X1031"/>
  <c r="X1036"/>
  <c r="X1032"/>
  <c r="X175"/>
  <c r="X170"/>
  <c r="X179"/>
  <c r="X169"/>
  <c r="X183"/>
  <c r="X907"/>
  <c r="X911"/>
  <c r="X910"/>
  <c r="X1105"/>
  <c r="X749"/>
  <c r="X740"/>
  <c r="X746"/>
  <c r="X745"/>
  <c r="X305"/>
  <c r="X294"/>
  <c r="X292"/>
  <c r="X311"/>
  <c r="X302"/>
  <c r="X315"/>
  <c r="X347"/>
  <c r="X348"/>
  <c r="X350"/>
  <c r="X355"/>
  <c r="X887"/>
  <c r="X890"/>
  <c r="X891"/>
  <c r="X422"/>
  <c r="X418"/>
  <c r="X427"/>
  <c r="X424"/>
  <c r="X1107"/>
  <c r="X710"/>
  <c r="X715"/>
  <c r="X711"/>
  <c r="X640"/>
  <c r="X1245"/>
  <c r="X1236"/>
  <c r="X1240"/>
  <c r="X833"/>
  <c r="X831"/>
  <c r="X834"/>
  <c r="X829"/>
  <c r="X376"/>
  <c r="X375"/>
  <c r="X1143"/>
  <c r="X1142"/>
  <c r="X1140"/>
  <c r="X1130"/>
  <c r="X1172"/>
  <c r="X1178"/>
  <c r="X1182"/>
  <c r="X573"/>
  <c r="X865"/>
  <c r="X860"/>
  <c r="X869"/>
  <c r="X858"/>
  <c r="X461"/>
  <c r="X463"/>
  <c r="X500"/>
  <c r="X495"/>
  <c r="X502"/>
  <c r="X1268"/>
  <c r="X1272"/>
  <c r="X237"/>
  <c r="X227"/>
  <c r="X222"/>
  <c r="X226"/>
  <c r="X223"/>
  <c r="X203"/>
  <c r="X950"/>
  <c r="X942"/>
  <c r="X1030"/>
  <c r="X1019"/>
  <c r="X1037"/>
  <c r="X1028"/>
  <c r="X1024"/>
  <c r="X182"/>
  <c r="X168"/>
  <c r="X171"/>
  <c r="X184"/>
  <c r="X916"/>
  <c r="X914"/>
  <c r="X917"/>
  <c r="X1098"/>
  <c r="X1106"/>
  <c r="X741"/>
  <c r="X755"/>
  <c r="X752"/>
  <c r="X744"/>
  <c r="X312"/>
  <c r="X309"/>
  <c r="X314"/>
  <c r="X303"/>
  <c r="X293"/>
  <c r="X307"/>
  <c r="X353"/>
  <c r="X346"/>
  <c r="X357"/>
  <c r="X889"/>
  <c r="X886"/>
  <c r="X894"/>
  <c r="X896"/>
  <c r="X429"/>
  <c r="X416"/>
  <c r="X419"/>
  <c r="X414"/>
  <c r="X720"/>
  <c r="X717"/>
  <c r="X721"/>
  <c r="X724"/>
  <c r="X641"/>
  <c r="X1243"/>
  <c r="X1235"/>
  <c r="X1239"/>
  <c r="X825"/>
  <c r="X837"/>
  <c r="X826"/>
  <c r="X827"/>
  <c r="X373"/>
  <c r="X374"/>
  <c r="X1135"/>
  <c r="X1134"/>
  <c r="X1132"/>
  <c r="X1181"/>
  <c r="X1177"/>
  <c r="X1184"/>
  <c r="X1174"/>
  <c r="X1108"/>
  <c r="X646"/>
  <c r="X1109"/>
  <c r="X574"/>
  <c r="X575"/>
  <c r="X647"/>
  <c r="X291"/>
  <c r="X1110"/>
  <c r="X465"/>
  <c r="X639"/>
  <c r="X289"/>
  <c r="X287"/>
  <c r="X638"/>
  <c r="X275"/>
  <c r="X565"/>
  <c r="X274"/>
  <c r="X272"/>
  <c r="X280"/>
  <c r="X285"/>
  <c r="X282"/>
  <c r="X288"/>
  <c r="X270"/>
  <c r="X273"/>
  <c r="X271"/>
  <c r="X277"/>
  <c r="X286"/>
  <c r="X276"/>
  <c r="X283"/>
  <c r="X281"/>
  <c r="X576"/>
  <c r="X278"/>
  <c r="X290"/>
  <c r="X284"/>
  <c r="X568"/>
  <c r="X279"/>
  <c r="X269"/>
  <c r="X1102"/>
  <c r="X1111"/>
  <c r="X648"/>
  <c r="X577"/>
  <c r="X1112"/>
  <c r="X649"/>
  <c r="X578"/>
  <c r="X1113"/>
  <c r="X650"/>
  <c r="X1114"/>
  <c r="X67"/>
  <c r="X74"/>
  <c r="X70"/>
  <c r="X139"/>
  <c r="X126"/>
  <c r="X136"/>
  <c r="X138"/>
  <c r="X127"/>
  <c r="X651"/>
  <c r="X76"/>
  <c r="X73"/>
  <c r="X69"/>
  <c r="X124"/>
  <c r="X134"/>
  <c r="X129"/>
  <c r="X125"/>
  <c r="X135"/>
  <c r="X652"/>
  <c r="C653"/>
  <c r="X653" s="1"/>
  <c r="X80"/>
  <c r="C81"/>
  <c r="X580"/>
  <c r="C581"/>
  <c r="X581" s="1"/>
  <c r="C1116"/>
  <c r="X1115"/>
  <c r="K132" i="16"/>
  <c r="J86" i="10"/>
  <c r="G86"/>
  <c r="I86"/>
  <c r="I209"/>
  <c r="I215" s="1"/>
  <c r="C174" s="1"/>
  <c r="N178" s="1"/>
  <c r="K209"/>
  <c r="J196"/>
  <c r="J209"/>
  <c r="L196"/>
  <c r="L209"/>
  <c r="K196"/>
  <c r="K132" i="9"/>
  <c r="K133"/>
  <c r="M181" i="10"/>
  <c r="M182"/>
  <c r="M183"/>
  <c r="M184"/>
  <c r="M185"/>
  <c r="M186"/>
  <c r="M187"/>
  <c r="M188"/>
  <c r="M189"/>
  <c r="M190"/>
  <c r="M191"/>
  <c r="M192"/>
  <c r="M193"/>
  <c r="M194"/>
  <c r="M195"/>
  <c r="M197"/>
  <c r="M198"/>
  <c r="M199"/>
  <c r="M200"/>
  <c r="M201"/>
  <c r="M202"/>
  <c r="M203"/>
  <c r="M204"/>
  <c r="M205"/>
  <c r="M206"/>
  <c r="M207"/>
  <c r="M208"/>
  <c r="M210"/>
  <c r="M211"/>
  <c r="M212"/>
  <c r="M213"/>
  <c r="M214"/>
  <c r="K131" i="9"/>
  <c r="X1263" i="6" l="1"/>
  <c r="X1233"/>
  <c r="X1246"/>
  <c r="JI13" i="17"/>
  <c r="JI71" s="1"/>
  <c r="IU13"/>
  <c r="IU71" s="1"/>
  <c r="IT71"/>
  <c r="JV13"/>
  <c r="C1117" i="6"/>
  <c r="X1116"/>
  <c r="X81"/>
  <c r="C82"/>
  <c r="K133" i="16"/>
  <c r="K215" i="10"/>
  <c r="E174" s="1"/>
  <c r="P178" s="1"/>
  <c r="J215"/>
  <c r="D174" s="1"/>
  <c r="O212" s="1"/>
  <c r="L215"/>
  <c r="M209"/>
  <c r="M196"/>
  <c r="N214"/>
  <c r="N213"/>
  <c r="N212"/>
  <c r="N211"/>
  <c r="N210"/>
  <c r="N209"/>
  <c r="N208"/>
  <c r="N207"/>
  <c r="N206"/>
  <c r="N205"/>
  <c r="N204"/>
  <c r="N203"/>
  <c r="N202"/>
  <c r="N201"/>
  <c r="N200"/>
  <c r="N199"/>
  <c r="N198"/>
  <c r="N197"/>
  <c r="N196"/>
  <c r="N195"/>
  <c r="N194"/>
  <c r="N193"/>
  <c r="N192"/>
  <c r="N191"/>
  <c r="N190"/>
  <c r="N189"/>
  <c r="N188"/>
  <c r="N187"/>
  <c r="N186"/>
  <c r="N185"/>
  <c r="N184"/>
  <c r="N183"/>
  <c r="N182"/>
  <c r="N181"/>
  <c r="P205"/>
  <c r="P181"/>
  <c r="P185" l="1"/>
  <c r="P209"/>
  <c r="JV71" i="17"/>
  <c r="JW13"/>
  <c r="JW71" s="1"/>
  <c r="KJ13"/>
  <c r="P197" i="10"/>
  <c r="P201"/>
  <c r="U201" s="1"/>
  <c r="C1118" i="6"/>
  <c r="X1118" s="1"/>
  <c r="X1117"/>
  <c r="X82"/>
  <c r="C83"/>
  <c r="P182" i="10"/>
  <c r="U182" s="1"/>
  <c r="P206"/>
  <c r="U206" s="1"/>
  <c r="P189"/>
  <c r="U189" s="1"/>
  <c r="P214"/>
  <c r="P190"/>
  <c r="P193"/>
  <c r="U193" s="1"/>
  <c r="P198"/>
  <c r="K134" i="16"/>
  <c r="P183" i="10"/>
  <c r="U183" s="1"/>
  <c r="P191"/>
  <c r="U191" s="1"/>
  <c r="P199"/>
  <c r="U199" s="1"/>
  <c r="P207"/>
  <c r="U207" s="1"/>
  <c r="P184"/>
  <c r="U184" s="1"/>
  <c r="P192"/>
  <c r="U192" s="1"/>
  <c r="P200"/>
  <c r="P208"/>
  <c r="U208" s="1"/>
  <c r="P202"/>
  <c r="U202" s="1"/>
  <c r="P194"/>
  <c r="U194" s="1"/>
  <c r="P210"/>
  <c r="U210" s="1"/>
  <c r="P203"/>
  <c r="U203" s="1"/>
  <c r="P186"/>
  <c r="U186" s="1"/>
  <c r="P187"/>
  <c r="U187" s="1"/>
  <c r="P195"/>
  <c r="P211"/>
  <c r="U211" s="1"/>
  <c r="P188"/>
  <c r="U188" s="1"/>
  <c r="P196"/>
  <c r="U196" s="1"/>
  <c r="P204"/>
  <c r="U204" s="1"/>
  <c r="P212"/>
  <c r="U212" s="1"/>
  <c r="P213"/>
  <c r="U213" s="1"/>
  <c r="M215"/>
  <c r="O182"/>
  <c r="F174"/>
  <c r="Q207" s="1"/>
  <c r="O190"/>
  <c r="T190" s="1"/>
  <c r="T212"/>
  <c r="O198"/>
  <c r="O214"/>
  <c r="O191"/>
  <c r="O184"/>
  <c r="O196"/>
  <c r="O204"/>
  <c r="O192"/>
  <c r="O193"/>
  <c r="O199"/>
  <c r="O205"/>
  <c r="O211"/>
  <c r="O178"/>
  <c r="O189"/>
  <c r="O181"/>
  <c r="O195"/>
  <c r="O203"/>
  <c r="O209"/>
  <c r="O197"/>
  <c r="O201"/>
  <c r="O207"/>
  <c r="O213"/>
  <c r="O206"/>
  <c r="O186"/>
  <c r="T186" s="1"/>
  <c r="O183"/>
  <c r="O194"/>
  <c r="O202"/>
  <c r="O210"/>
  <c r="O188"/>
  <c r="T188" s="1"/>
  <c r="O185"/>
  <c r="O200"/>
  <c r="O208"/>
  <c r="O187"/>
  <c r="U181"/>
  <c r="U185"/>
  <c r="U195"/>
  <c r="U197"/>
  <c r="U205"/>
  <c r="U209"/>
  <c r="N215"/>
  <c r="S181"/>
  <c r="S183"/>
  <c r="S185"/>
  <c r="S187"/>
  <c r="S189"/>
  <c r="S191"/>
  <c r="S193"/>
  <c r="S195"/>
  <c r="S197"/>
  <c r="S199"/>
  <c r="S201"/>
  <c r="S203"/>
  <c r="S205"/>
  <c r="S207"/>
  <c r="S209"/>
  <c r="S211"/>
  <c r="S213"/>
  <c r="U190"/>
  <c r="U198"/>
  <c r="U200"/>
  <c r="U214"/>
  <c r="S182"/>
  <c r="S184"/>
  <c r="S186"/>
  <c r="S188"/>
  <c r="S190"/>
  <c r="S192"/>
  <c r="S194"/>
  <c r="S196"/>
  <c r="S198"/>
  <c r="S200"/>
  <c r="S202"/>
  <c r="S204"/>
  <c r="S206"/>
  <c r="S208"/>
  <c r="S210"/>
  <c r="S212"/>
  <c r="S214"/>
  <c r="KJ71" i="17" l="1"/>
  <c r="KX13"/>
  <c r="KK13"/>
  <c r="KK71" s="1"/>
  <c r="X83" i="6"/>
  <c r="C84"/>
  <c r="K135" i="16"/>
  <c r="P215" i="10"/>
  <c r="Q193"/>
  <c r="R193" s="1"/>
  <c r="Q187"/>
  <c r="V187" s="1"/>
  <c r="Q183"/>
  <c r="V183" s="1"/>
  <c r="Q202"/>
  <c r="V202" s="1"/>
  <c r="Q186"/>
  <c r="R186" s="1"/>
  <c r="Q203"/>
  <c r="R203" s="1"/>
  <c r="Q198"/>
  <c r="R198" s="1"/>
  <c r="Q192"/>
  <c r="R192" s="1"/>
  <c r="Q206"/>
  <c r="R206" s="1"/>
  <c r="Q204"/>
  <c r="V204" s="1"/>
  <c r="Q211"/>
  <c r="R211" s="1"/>
  <c r="Q189"/>
  <c r="V189" s="1"/>
  <c r="Q210"/>
  <c r="V210" s="1"/>
  <c r="Q200"/>
  <c r="R200" s="1"/>
  <c r="Q214"/>
  <c r="V214" s="1"/>
  <c r="Q194"/>
  <c r="R194" s="1"/>
  <c r="Q196"/>
  <c r="V196" s="1"/>
  <c r="Q184"/>
  <c r="R184" s="1"/>
  <c r="T182"/>
  <c r="Q188"/>
  <c r="R188" s="1"/>
  <c r="Q208"/>
  <c r="V208" s="1"/>
  <c r="Q191"/>
  <c r="V191" s="1"/>
  <c r="Q190"/>
  <c r="R190" s="1"/>
  <c r="Q195"/>
  <c r="R195" s="1"/>
  <c r="Q181"/>
  <c r="V181" s="1"/>
  <c r="Q182"/>
  <c r="R182" s="1"/>
  <c r="V207"/>
  <c r="Q178"/>
  <c r="Q201"/>
  <c r="R201" s="1"/>
  <c r="Q209"/>
  <c r="R209" s="1"/>
  <c r="Q212"/>
  <c r="Q185"/>
  <c r="R185" s="1"/>
  <c r="Q197"/>
  <c r="R197" s="1"/>
  <c r="Q205"/>
  <c r="Q213"/>
  <c r="T184"/>
  <c r="R207"/>
  <c r="Q199"/>
  <c r="T185"/>
  <c r="T202"/>
  <c r="T197"/>
  <c r="T205"/>
  <c r="T200"/>
  <c r="T210"/>
  <c r="T201"/>
  <c r="T195"/>
  <c r="T211"/>
  <c r="T192"/>
  <c r="T206"/>
  <c r="O215"/>
  <c r="T181"/>
  <c r="T208"/>
  <c r="V186"/>
  <c r="T183"/>
  <c r="T207"/>
  <c r="T203"/>
  <c r="T193"/>
  <c r="V206"/>
  <c r="T196"/>
  <c r="T198"/>
  <c r="T191"/>
  <c r="T187"/>
  <c r="T194"/>
  <c r="T213"/>
  <c r="T209"/>
  <c r="T189"/>
  <c r="T199"/>
  <c r="V198"/>
  <c r="T204"/>
  <c r="T214"/>
  <c r="R202"/>
  <c r="S215"/>
  <c r="U215"/>
  <c r="V192" l="1"/>
  <c r="KX71" i="17"/>
  <c r="KY13"/>
  <c r="KY71" s="1"/>
  <c r="LL13"/>
  <c r="C85" i="6"/>
  <c r="X84"/>
  <c r="R183" i="10"/>
  <c r="R181"/>
  <c r="V200"/>
  <c r="V211"/>
  <c r="K136" i="16"/>
  <c r="V195" i="10"/>
  <c r="R208"/>
  <c r="V184"/>
  <c r="R196"/>
  <c r="V193"/>
  <c r="R189"/>
  <c r="R187"/>
  <c r="V203"/>
  <c r="R204"/>
  <c r="V188"/>
  <c r="V190"/>
  <c r="V182"/>
  <c r="R214"/>
  <c r="V194"/>
  <c r="R191"/>
  <c r="R210"/>
  <c r="V205"/>
  <c r="V213"/>
  <c r="V212"/>
  <c r="R212"/>
  <c r="V185"/>
  <c r="R205"/>
  <c r="R213"/>
  <c r="V209"/>
  <c r="V199"/>
  <c r="V197"/>
  <c r="V201"/>
  <c r="Q215"/>
  <c r="R199"/>
  <c r="T215"/>
  <c r="LL71" i="17" l="1"/>
  <c r="LM13"/>
  <c r="LM71" s="1"/>
  <c r="LZ13"/>
  <c r="X85" i="6"/>
  <c r="C86"/>
  <c r="K137" i="16"/>
  <c r="V215" i="10"/>
  <c r="V1" i="6"/>
  <c r="G3" i="16" s="1"/>
  <c r="W1" i="6"/>
  <c r="H3" i="16" s="1"/>
  <c r="P1" i="6"/>
  <c r="U1" s="1"/>
  <c r="F3" i="16" s="1"/>
  <c r="O1" i="6"/>
  <c r="T1" s="1"/>
  <c r="E3" i="16" s="1"/>
  <c r="N1" i="6"/>
  <c r="S1" s="1"/>
  <c r="D3" i="16" s="1"/>
  <c r="C15" i="1"/>
  <c r="C16" s="1"/>
  <c r="B15"/>
  <c r="S6" i="5"/>
  <c r="S7"/>
  <c r="S8"/>
  <c r="S9"/>
  <c r="S10"/>
  <c r="S11"/>
  <c r="S12"/>
  <c r="S13"/>
  <c r="S14"/>
  <c r="S15"/>
  <c r="S16"/>
  <c r="S17"/>
  <c r="S18"/>
  <c r="S19"/>
  <c r="S20"/>
  <c r="S21"/>
  <c r="AC1249" i="6"/>
  <c r="H1222"/>
  <c r="M1222" s="1"/>
  <c r="H1221"/>
  <c r="M1221" s="1"/>
  <c r="AB1221" s="1"/>
  <c r="H1220"/>
  <c r="M1220" s="1"/>
  <c r="AB1220" s="1"/>
  <c r="H1219"/>
  <c r="AC1206"/>
  <c r="AC1171"/>
  <c r="H1156"/>
  <c r="M1156" s="1"/>
  <c r="H1155"/>
  <c r="M1155" s="1"/>
  <c r="AB1155" s="1"/>
  <c r="H1154"/>
  <c r="M1154" s="1"/>
  <c r="AB1154" s="1"/>
  <c r="H1153"/>
  <c r="M1153" s="1"/>
  <c r="AB1153" s="1"/>
  <c r="H1152"/>
  <c r="M1152" s="1"/>
  <c r="AB1152" s="1"/>
  <c r="H1151"/>
  <c r="M1151" s="1"/>
  <c r="AB1151" s="1"/>
  <c r="H1150"/>
  <c r="M1150" s="1"/>
  <c r="AB1150" s="1"/>
  <c r="H1149"/>
  <c r="M1149" s="1"/>
  <c r="AB1149" s="1"/>
  <c r="H1148"/>
  <c r="M1148" s="1"/>
  <c r="AB1148" s="1"/>
  <c r="H1147"/>
  <c r="H1129"/>
  <c r="M1129" s="1"/>
  <c r="H1128"/>
  <c r="M1128" s="1"/>
  <c r="AB1128" s="1"/>
  <c r="H1127"/>
  <c r="M1127" s="1"/>
  <c r="AB1127" s="1"/>
  <c r="H1126"/>
  <c r="M1126" s="1"/>
  <c r="AB1126" s="1"/>
  <c r="H1125"/>
  <c r="M1125" s="1"/>
  <c r="AB1125" s="1"/>
  <c r="H1124"/>
  <c r="M1124" s="1"/>
  <c r="AB1124" s="1"/>
  <c r="H1123"/>
  <c r="M1123" s="1"/>
  <c r="AB1123" s="1"/>
  <c r="H1122"/>
  <c r="M1122" s="1"/>
  <c r="AB1122" s="1"/>
  <c r="H1121"/>
  <c r="M1121" s="1"/>
  <c r="AB1121" s="1"/>
  <c r="H1120"/>
  <c r="H1101"/>
  <c r="M1101" s="1"/>
  <c r="H1100"/>
  <c r="M1100" s="1"/>
  <c r="H1099"/>
  <c r="M1099" s="1"/>
  <c r="H1097"/>
  <c r="M1097" s="1"/>
  <c r="H1096"/>
  <c r="AC1080"/>
  <c r="AC1079"/>
  <c r="AC1078"/>
  <c r="AC1077"/>
  <c r="H1076"/>
  <c r="M1076" s="1"/>
  <c r="AB1076" s="1"/>
  <c r="AC1075"/>
  <c r="AC1074"/>
  <c r="H1073"/>
  <c r="M1073" s="1"/>
  <c r="AB1073" s="1"/>
  <c r="H1072"/>
  <c r="M1072" s="1"/>
  <c r="AB1072" s="1"/>
  <c r="H1071"/>
  <c r="M1071" s="1"/>
  <c r="AB1071" s="1"/>
  <c r="AC1070"/>
  <c r="H1069"/>
  <c r="M1069" s="1"/>
  <c r="AB1069" s="1"/>
  <c r="H1068"/>
  <c r="M1068" s="1"/>
  <c r="AB1068" s="1"/>
  <c r="AC1067"/>
  <c r="H1066"/>
  <c r="M1066" s="1"/>
  <c r="AB1066" s="1"/>
  <c r="H1065"/>
  <c r="M1065" s="1"/>
  <c r="AB1065" s="1"/>
  <c r="H1064"/>
  <c r="M1064" s="1"/>
  <c r="AB1064" s="1"/>
  <c r="AC1063"/>
  <c r="H1062"/>
  <c r="M1062" s="1"/>
  <c r="AB1062" s="1"/>
  <c r="H1061"/>
  <c r="M1061" s="1"/>
  <c r="AB1061" s="1"/>
  <c r="H1060"/>
  <c r="M1060" s="1"/>
  <c r="AB1060" s="1"/>
  <c r="AC1059"/>
  <c r="AC1058"/>
  <c r="H1057"/>
  <c r="M1057" s="1"/>
  <c r="AB1057" s="1"/>
  <c r="H1056"/>
  <c r="M1056" s="1"/>
  <c r="AB1056" s="1"/>
  <c r="H1055"/>
  <c r="M1055" s="1"/>
  <c r="AB1055" s="1"/>
  <c r="H1054"/>
  <c r="M1054" s="1"/>
  <c r="AB1054" s="1"/>
  <c r="H1053"/>
  <c r="M1053" s="1"/>
  <c r="AB1053" s="1"/>
  <c r="H1052"/>
  <c r="M1052" s="1"/>
  <c r="AB1052" s="1"/>
  <c r="H1051"/>
  <c r="M1051" s="1"/>
  <c r="AB1051" s="1"/>
  <c r="AC1050"/>
  <c r="H1049"/>
  <c r="M1049" s="1"/>
  <c r="AB1049" s="1"/>
  <c r="AC1048"/>
  <c r="H1047"/>
  <c r="M1047" s="1"/>
  <c r="AB1047" s="1"/>
  <c r="AC1046"/>
  <c r="H1045"/>
  <c r="M1045" s="1"/>
  <c r="AB1045" s="1"/>
  <c r="H1044"/>
  <c r="M1044" s="1"/>
  <c r="AB1044" s="1"/>
  <c r="H1043"/>
  <c r="M1043" s="1"/>
  <c r="AB1043" s="1"/>
  <c r="H1042"/>
  <c r="AC1041"/>
  <c r="AC1040"/>
  <c r="H1018"/>
  <c r="M1018" s="1"/>
  <c r="H1017"/>
  <c r="H1016"/>
  <c r="H1015"/>
  <c r="H1014"/>
  <c r="H1013"/>
  <c r="H1012"/>
  <c r="H1011"/>
  <c r="H1010"/>
  <c r="H1009"/>
  <c r="H1008"/>
  <c r="H1007"/>
  <c r="H1006"/>
  <c r="H1005"/>
  <c r="H1004"/>
  <c r="H1003"/>
  <c r="H1002"/>
  <c r="H1001"/>
  <c r="H1000"/>
  <c r="H999"/>
  <c r="H998"/>
  <c r="H997"/>
  <c r="H996"/>
  <c r="H995"/>
  <c r="H979"/>
  <c r="M979" s="1"/>
  <c r="H978"/>
  <c r="M978" s="1"/>
  <c r="AB978" s="1"/>
  <c r="H977"/>
  <c r="M977" s="1"/>
  <c r="AB977" s="1"/>
  <c r="H976"/>
  <c r="M976" s="1"/>
  <c r="AB976" s="1"/>
  <c r="H975"/>
  <c r="M975" s="1"/>
  <c r="AB975" s="1"/>
  <c r="H974"/>
  <c r="M974" s="1"/>
  <c r="AB974" s="1"/>
  <c r="H973"/>
  <c r="M973" s="1"/>
  <c r="AB973" s="1"/>
  <c r="H972"/>
  <c r="M972" s="1"/>
  <c r="AB972" s="1"/>
  <c r="H971"/>
  <c r="M971" s="1"/>
  <c r="AB971" s="1"/>
  <c r="H970"/>
  <c r="M970" s="1"/>
  <c r="AB970" s="1"/>
  <c r="H969"/>
  <c r="M969" s="1"/>
  <c r="AB969" s="1"/>
  <c r="H968"/>
  <c r="M968" s="1"/>
  <c r="AB968" s="1"/>
  <c r="H967"/>
  <c r="M967" s="1"/>
  <c r="AB967" s="1"/>
  <c r="H966"/>
  <c r="M966" s="1"/>
  <c r="AB966" s="1"/>
  <c r="H965"/>
  <c r="M965" s="1"/>
  <c r="AB965" s="1"/>
  <c r="H964"/>
  <c r="M964" s="1"/>
  <c r="AB964" s="1"/>
  <c r="H963"/>
  <c r="M963" s="1"/>
  <c r="AB963" s="1"/>
  <c r="H962"/>
  <c r="M962" s="1"/>
  <c r="AB962" s="1"/>
  <c r="H961"/>
  <c r="M961" s="1"/>
  <c r="AB961" s="1"/>
  <c r="H960"/>
  <c r="M960" s="1"/>
  <c r="AB960" s="1"/>
  <c r="H959"/>
  <c r="M959" s="1"/>
  <c r="AB959" s="1"/>
  <c r="H958"/>
  <c r="M958" s="1"/>
  <c r="AB958" s="1"/>
  <c r="H957"/>
  <c r="M957" s="1"/>
  <c r="AB957" s="1"/>
  <c r="H956"/>
  <c r="M956" s="1"/>
  <c r="AB956" s="1"/>
  <c r="H955"/>
  <c r="M955" s="1"/>
  <c r="AB955" s="1"/>
  <c r="H954"/>
  <c r="H941"/>
  <c r="M941" s="1"/>
  <c r="AC940"/>
  <c r="H939"/>
  <c r="M939" s="1"/>
  <c r="AB939" s="1"/>
  <c r="H938"/>
  <c r="M938" s="1"/>
  <c r="AB938" s="1"/>
  <c r="H937"/>
  <c r="M937" s="1"/>
  <c r="AB937" s="1"/>
  <c r="H936"/>
  <c r="M936" s="1"/>
  <c r="AB936" s="1"/>
  <c r="H935"/>
  <c r="M935" s="1"/>
  <c r="AB935" s="1"/>
  <c r="H934"/>
  <c r="M934" s="1"/>
  <c r="AB934" s="1"/>
  <c r="H933"/>
  <c r="M933" s="1"/>
  <c r="AB933" s="1"/>
  <c r="H932"/>
  <c r="M932" s="1"/>
  <c r="AB932" s="1"/>
  <c r="H931"/>
  <c r="M931" s="1"/>
  <c r="AB931" s="1"/>
  <c r="H930"/>
  <c r="M930" s="1"/>
  <c r="AB930" s="1"/>
  <c r="AC929"/>
  <c r="H928"/>
  <c r="M928" s="1"/>
  <c r="AB928" s="1"/>
  <c r="H927"/>
  <c r="M927" s="1"/>
  <c r="AB927" s="1"/>
  <c r="H926"/>
  <c r="M926" s="1"/>
  <c r="AB926" s="1"/>
  <c r="H925"/>
  <c r="M925" s="1"/>
  <c r="AB925" s="1"/>
  <c r="H924"/>
  <c r="M924" s="1"/>
  <c r="AB924" s="1"/>
  <c r="AC923"/>
  <c r="H922"/>
  <c r="M922" s="1"/>
  <c r="AB922" s="1"/>
  <c r="H921"/>
  <c r="M921" s="1"/>
  <c r="AB921" s="1"/>
  <c r="H920"/>
  <c r="H906"/>
  <c r="M906" s="1"/>
  <c r="H905"/>
  <c r="M905" s="1"/>
  <c r="AB905" s="1"/>
  <c r="H904"/>
  <c r="M904" s="1"/>
  <c r="AB904" s="1"/>
  <c r="H903"/>
  <c r="M903" s="1"/>
  <c r="AB903" s="1"/>
  <c r="H902"/>
  <c r="M902" s="1"/>
  <c r="AB902" s="1"/>
  <c r="H901"/>
  <c r="M901" s="1"/>
  <c r="AB901" s="1"/>
  <c r="H900"/>
  <c r="M900" s="1"/>
  <c r="AB900" s="1"/>
  <c r="H899"/>
  <c r="AC883"/>
  <c r="H882"/>
  <c r="M882" s="1"/>
  <c r="AB882" s="1"/>
  <c r="AC881"/>
  <c r="H880"/>
  <c r="M880" s="1"/>
  <c r="AB880" s="1"/>
  <c r="H879"/>
  <c r="M879" s="1"/>
  <c r="AB879" s="1"/>
  <c r="AC878"/>
  <c r="AC877"/>
  <c r="AC876"/>
  <c r="H875"/>
  <c r="M875" s="1"/>
  <c r="AB875" s="1"/>
  <c r="H874"/>
  <c r="AC873"/>
  <c r="H856"/>
  <c r="M856" s="1"/>
  <c r="H855"/>
  <c r="M855" s="1"/>
  <c r="AB855" s="1"/>
  <c r="H854"/>
  <c r="M854" s="1"/>
  <c r="AB854" s="1"/>
  <c r="H853"/>
  <c r="M853" s="1"/>
  <c r="AB853" s="1"/>
  <c r="AC852"/>
  <c r="H851"/>
  <c r="M851" s="1"/>
  <c r="AB851" s="1"/>
  <c r="H850"/>
  <c r="M850" s="1"/>
  <c r="AB850" s="1"/>
  <c r="AC849"/>
  <c r="H848"/>
  <c r="M848" s="1"/>
  <c r="AB848" s="1"/>
  <c r="AC847"/>
  <c r="AC846"/>
  <c r="H845"/>
  <c r="M845" s="1"/>
  <c r="AB845" s="1"/>
  <c r="H844"/>
  <c r="M844" s="1"/>
  <c r="AB844" s="1"/>
  <c r="H843"/>
  <c r="M843" s="1"/>
  <c r="AB843" s="1"/>
  <c r="H842"/>
  <c r="M842" s="1"/>
  <c r="AB842" s="1"/>
  <c r="H841"/>
  <c r="AC840"/>
  <c r="H822"/>
  <c r="M822" s="1"/>
  <c r="H821"/>
  <c r="M821" s="1"/>
  <c r="AB821" s="1"/>
  <c r="H820"/>
  <c r="M820" s="1"/>
  <c r="AB820" s="1"/>
  <c r="H819"/>
  <c r="M819" s="1"/>
  <c r="AB819" s="1"/>
  <c r="H818"/>
  <c r="M818" s="1"/>
  <c r="AB818" s="1"/>
  <c r="H817"/>
  <c r="M817" s="1"/>
  <c r="AB817" s="1"/>
  <c r="H816"/>
  <c r="M816" s="1"/>
  <c r="AB816" s="1"/>
  <c r="H815"/>
  <c r="M815" s="1"/>
  <c r="AB815" s="1"/>
  <c r="H814"/>
  <c r="M814" s="1"/>
  <c r="AB814" s="1"/>
  <c r="H813"/>
  <c r="M813" s="1"/>
  <c r="AB813" s="1"/>
  <c r="H812"/>
  <c r="M812" s="1"/>
  <c r="AB812" s="1"/>
  <c r="H811"/>
  <c r="M811" s="1"/>
  <c r="AB811" s="1"/>
  <c r="H810"/>
  <c r="M810" s="1"/>
  <c r="AB810" s="1"/>
  <c r="H809"/>
  <c r="M809" s="1"/>
  <c r="AB809" s="1"/>
  <c r="H808"/>
  <c r="M808" s="1"/>
  <c r="AB808" s="1"/>
  <c r="H807"/>
  <c r="M807" s="1"/>
  <c r="AB807" s="1"/>
  <c r="H806"/>
  <c r="M806" s="1"/>
  <c r="AB806" s="1"/>
  <c r="H805"/>
  <c r="M805" s="1"/>
  <c r="AB805" s="1"/>
  <c r="H804"/>
  <c r="M804" s="1"/>
  <c r="AB804" s="1"/>
  <c r="H803"/>
  <c r="M803" s="1"/>
  <c r="AB803" s="1"/>
  <c r="H802"/>
  <c r="M802" s="1"/>
  <c r="AB802" s="1"/>
  <c r="H801"/>
  <c r="M801" s="1"/>
  <c r="AB801" s="1"/>
  <c r="H800"/>
  <c r="M800" s="1"/>
  <c r="AB800" s="1"/>
  <c r="H799"/>
  <c r="M799" s="1"/>
  <c r="AB799" s="1"/>
  <c r="H798"/>
  <c r="M798" s="1"/>
  <c r="AB798" s="1"/>
  <c r="H797"/>
  <c r="M797" s="1"/>
  <c r="AB797" s="1"/>
  <c r="H796"/>
  <c r="M796" s="1"/>
  <c r="AB796" s="1"/>
  <c r="H795"/>
  <c r="M795" s="1"/>
  <c r="AB795" s="1"/>
  <c r="H794"/>
  <c r="M794" s="1"/>
  <c r="AB794" s="1"/>
  <c r="H793"/>
  <c r="M793" s="1"/>
  <c r="AB793" s="1"/>
  <c r="H792"/>
  <c r="M792" s="1"/>
  <c r="AB792" s="1"/>
  <c r="H791"/>
  <c r="M791" s="1"/>
  <c r="AB791" s="1"/>
  <c r="H790"/>
  <c r="M790" s="1"/>
  <c r="AB790" s="1"/>
  <c r="H789"/>
  <c r="M789" s="1"/>
  <c r="AB789" s="1"/>
  <c r="H788"/>
  <c r="M788" s="1"/>
  <c r="AB788" s="1"/>
  <c r="H787"/>
  <c r="M787" s="1"/>
  <c r="AB787" s="1"/>
  <c r="H786"/>
  <c r="M786" s="1"/>
  <c r="AB786" s="1"/>
  <c r="H785"/>
  <c r="M785" s="1"/>
  <c r="AB785" s="1"/>
  <c r="H784"/>
  <c r="M784" s="1"/>
  <c r="AB784" s="1"/>
  <c r="H783"/>
  <c r="M783" s="1"/>
  <c r="AB783" s="1"/>
  <c r="H782"/>
  <c r="M782" s="1"/>
  <c r="AB782" s="1"/>
  <c r="H781"/>
  <c r="M781" s="1"/>
  <c r="AB781" s="1"/>
  <c r="H780"/>
  <c r="M780" s="1"/>
  <c r="AB780" s="1"/>
  <c r="H779"/>
  <c r="M779" s="1"/>
  <c r="AB779" s="1"/>
  <c r="H778"/>
  <c r="M778" s="1"/>
  <c r="AB778" s="1"/>
  <c r="H777"/>
  <c r="M777" s="1"/>
  <c r="AB777" s="1"/>
  <c r="H776"/>
  <c r="M776" s="1"/>
  <c r="AB776" s="1"/>
  <c r="H775"/>
  <c r="M775" s="1"/>
  <c r="AB775" s="1"/>
  <c r="H774"/>
  <c r="M774" s="1"/>
  <c r="AB774" s="1"/>
  <c r="H773"/>
  <c r="M773" s="1"/>
  <c r="AB773" s="1"/>
  <c r="H772"/>
  <c r="M772" s="1"/>
  <c r="AB772" s="1"/>
  <c r="H771"/>
  <c r="M771" s="1"/>
  <c r="AB771" s="1"/>
  <c r="H770"/>
  <c r="M770" s="1"/>
  <c r="AB770" s="1"/>
  <c r="H769"/>
  <c r="M769" s="1"/>
  <c r="AB769" s="1"/>
  <c r="H768"/>
  <c r="M768" s="1"/>
  <c r="AB768" s="1"/>
  <c r="H767"/>
  <c r="M767" s="1"/>
  <c r="AB767" s="1"/>
  <c r="H766"/>
  <c r="M766" s="1"/>
  <c r="AB766" s="1"/>
  <c r="H765"/>
  <c r="M765" s="1"/>
  <c r="AB765" s="1"/>
  <c r="H764"/>
  <c r="M764" s="1"/>
  <c r="AB764" s="1"/>
  <c r="H763"/>
  <c r="M763" s="1"/>
  <c r="AB763" s="1"/>
  <c r="H762"/>
  <c r="M762" s="1"/>
  <c r="AB762" s="1"/>
  <c r="H761"/>
  <c r="M761" s="1"/>
  <c r="AB761" s="1"/>
  <c r="H760"/>
  <c r="H758"/>
  <c r="H757" s="1"/>
  <c r="H739"/>
  <c r="M739" s="1"/>
  <c r="H738"/>
  <c r="M738" s="1"/>
  <c r="AB738" s="1"/>
  <c r="H737"/>
  <c r="M737" s="1"/>
  <c r="AB737" s="1"/>
  <c r="H736"/>
  <c r="M736" s="1"/>
  <c r="AB736" s="1"/>
  <c r="H735"/>
  <c r="M735" s="1"/>
  <c r="AB735" s="1"/>
  <c r="H734"/>
  <c r="M734" s="1"/>
  <c r="AB734" s="1"/>
  <c r="H733"/>
  <c r="M733" s="1"/>
  <c r="AB733" s="1"/>
  <c r="H732"/>
  <c r="M732" s="1"/>
  <c r="AB732" s="1"/>
  <c r="H731"/>
  <c r="M731" s="1"/>
  <c r="AB731" s="1"/>
  <c r="H730"/>
  <c r="M730" s="1"/>
  <c r="AB730" s="1"/>
  <c r="H729"/>
  <c r="M729" s="1"/>
  <c r="AB729" s="1"/>
  <c r="H728"/>
  <c r="M728" s="1"/>
  <c r="AB728" s="1"/>
  <c r="H727"/>
  <c r="M727" s="1"/>
  <c r="AB727" s="1"/>
  <c r="H726"/>
  <c r="H709"/>
  <c r="M709" s="1"/>
  <c r="H708"/>
  <c r="M708" s="1"/>
  <c r="AB708" s="1"/>
  <c r="H707"/>
  <c r="M707" s="1"/>
  <c r="AB707" s="1"/>
  <c r="H706"/>
  <c r="M706" s="1"/>
  <c r="AB706" s="1"/>
  <c r="H705"/>
  <c r="M705" s="1"/>
  <c r="AB705" s="1"/>
  <c r="H704"/>
  <c r="M704" s="1"/>
  <c r="AB704" s="1"/>
  <c r="H703"/>
  <c r="M703" s="1"/>
  <c r="AB703" s="1"/>
  <c r="H702"/>
  <c r="M702" s="1"/>
  <c r="AB702" s="1"/>
  <c r="H701"/>
  <c r="M701" s="1"/>
  <c r="AB701" s="1"/>
  <c r="H700"/>
  <c r="M700" s="1"/>
  <c r="AB700" s="1"/>
  <c r="H699"/>
  <c r="M699" s="1"/>
  <c r="AB699" s="1"/>
  <c r="H698"/>
  <c r="M698" s="1"/>
  <c r="AB698" s="1"/>
  <c r="H697"/>
  <c r="M697" s="1"/>
  <c r="AB697" s="1"/>
  <c r="H696"/>
  <c r="M696" s="1"/>
  <c r="AB696" s="1"/>
  <c r="H695"/>
  <c r="M695" s="1"/>
  <c r="AB695" s="1"/>
  <c r="H694"/>
  <c r="M694" s="1"/>
  <c r="AB694" s="1"/>
  <c r="H693"/>
  <c r="M693" s="1"/>
  <c r="AB693" s="1"/>
  <c r="H692"/>
  <c r="M692" s="1"/>
  <c r="AB692" s="1"/>
  <c r="H691"/>
  <c r="M691" s="1"/>
  <c r="AB691" s="1"/>
  <c r="H690"/>
  <c r="M690" s="1"/>
  <c r="AB690" s="1"/>
  <c r="H689"/>
  <c r="M689" s="1"/>
  <c r="AB689" s="1"/>
  <c r="H688"/>
  <c r="M688" s="1"/>
  <c r="AB688" s="1"/>
  <c r="H687"/>
  <c r="M687" s="1"/>
  <c r="AB687" s="1"/>
  <c r="H686"/>
  <c r="M686" s="1"/>
  <c r="AB686" s="1"/>
  <c r="H685"/>
  <c r="M685" s="1"/>
  <c r="AB685" s="1"/>
  <c r="H684"/>
  <c r="M684" s="1"/>
  <c r="AB684" s="1"/>
  <c r="H683"/>
  <c r="M683" s="1"/>
  <c r="AB683" s="1"/>
  <c r="H682"/>
  <c r="M682" s="1"/>
  <c r="AB682" s="1"/>
  <c r="H681"/>
  <c r="M681" s="1"/>
  <c r="AB681" s="1"/>
  <c r="H680"/>
  <c r="H666"/>
  <c r="M666" s="1"/>
  <c r="H665"/>
  <c r="M665" s="1"/>
  <c r="AB665" s="1"/>
  <c r="H664"/>
  <c r="M664" s="1"/>
  <c r="AB664" s="1"/>
  <c r="H663"/>
  <c r="M663" s="1"/>
  <c r="AB663" s="1"/>
  <c r="H662"/>
  <c r="M662" s="1"/>
  <c r="AB662" s="1"/>
  <c r="H661"/>
  <c r="M661" s="1"/>
  <c r="AB661" s="1"/>
  <c r="H660"/>
  <c r="M660" s="1"/>
  <c r="AB660" s="1"/>
  <c r="H659"/>
  <c r="M659" s="1"/>
  <c r="AB659" s="1"/>
  <c r="H658"/>
  <c r="M658" s="1"/>
  <c r="AB658" s="1"/>
  <c r="H657"/>
  <c r="M657" s="1"/>
  <c r="AB657" s="1"/>
  <c r="H656"/>
  <c r="M656" s="1"/>
  <c r="AB656" s="1"/>
  <c r="H655"/>
  <c r="H637"/>
  <c r="M637" s="1"/>
  <c r="AB637" s="1"/>
  <c r="H636"/>
  <c r="M636" s="1"/>
  <c r="AB636" s="1"/>
  <c r="H635"/>
  <c r="M635" s="1"/>
  <c r="AB635" s="1"/>
  <c r="H634"/>
  <c r="M634" s="1"/>
  <c r="AB634" s="1"/>
  <c r="H633"/>
  <c r="M633" s="1"/>
  <c r="AB633" s="1"/>
  <c r="H632"/>
  <c r="M632" s="1"/>
  <c r="AB632" s="1"/>
  <c r="AC631"/>
  <c r="H630"/>
  <c r="M630" s="1"/>
  <c r="AB630" s="1"/>
  <c r="H629"/>
  <c r="M629" s="1"/>
  <c r="AB629" s="1"/>
  <c r="H628"/>
  <c r="M628" s="1"/>
  <c r="AB628" s="1"/>
  <c r="H627"/>
  <c r="M627" s="1"/>
  <c r="AB627" s="1"/>
  <c r="H626"/>
  <c r="M626" s="1"/>
  <c r="AB626" s="1"/>
  <c r="H625"/>
  <c r="M625" s="1"/>
  <c r="AB625" s="1"/>
  <c r="H624"/>
  <c r="M624" s="1"/>
  <c r="AB624" s="1"/>
  <c r="H623"/>
  <c r="M623" s="1"/>
  <c r="AB623" s="1"/>
  <c r="H622"/>
  <c r="M622" s="1"/>
  <c r="AB622" s="1"/>
  <c r="H621"/>
  <c r="M621" s="1"/>
  <c r="AB621" s="1"/>
  <c r="H620"/>
  <c r="M620" s="1"/>
  <c r="AB620" s="1"/>
  <c r="H619"/>
  <c r="AC606"/>
  <c r="AC605"/>
  <c r="H604"/>
  <c r="M604" s="1"/>
  <c r="AC603"/>
  <c r="H598"/>
  <c r="M598" s="1"/>
  <c r="H597"/>
  <c r="M597" s="1"/>
  <c r="AC595"/>
  <c r="H594"/>
  <c r="M594" s="1"/>
  <c r="AC592"/>
  <c r="H590"/>
  <c r="M590" s="1"/>
  <c r="H589"/>
  <c r="M589" s="1"/>
  <c r="AC588"/>
  <c r="H585"/>
  <c r="M585" s="1"/>
  <c r="H584"/>
  <c r="H564"/>
  <c r="H560"/>
  <c r="H559"/>
  <c r="H557"/>
  <c r="H556"/>
  <c r="H555"/>
  <c r="H547"/>
  <c r="H545"/>
  <c r="H542"/>
  <c r="H538"/>
  <c r="AC537"/>
  <c r="AC536"/>
  <c r="H535"/>
  <c r="AC534"/>
  <c r="H532"/>
  <c r="H531"/>
  <c r="AC530"/>
  <c r="H529"/>
  <c r="AC528"/>
  <c r="H526"/>
  <c r="H524"/>
  <c r="AC523"/>
  <c r="AC521"/>
  <c r="AC520"/>
  <c r="AC519"/>
  <c r="H518"/>
  <c r="AC517"/>
  <c r="AC516"/>
  <c r="H515"/>
  <c r="AC514"/>
  <c r="H513"/>
  <c r="AC512"/>
  <c r="H511"/>
  <c r="AC509"/>
  <c r="AC508"/>
  <c r="H505"/>
  <c r="H494"/>
  <c r="M494" s="1"/>
  <c r="H493"/>
  <c r="M493" s="1"/>
  <c r="H492"/>
  <c r="M492" s="1"/>
  <c r="H491"/>
  <c r="M491" s="1"/>
  <c r="H490"/>
  <c r="M490" s="1"/>
  <c r="H489"/>
  <c r="M489" s="1"/>
  <c r="H488"/>
  <c r="M488" s="1"/>
  <c r="H487"/>
  <c r="M487" s="1"/>
  <c r="H486"/>
  <c r="M486" s="1"/>
  <c r="H485"/>
  <c r="M485" s="1"/>
  <c r="H484"/>
  <c r="M484" s="1"/>
  <c r="H483"/>
  <c r="M483" s="1"/>
  <c r="H482"/>
  <c r="M482" s="1"/>
  <c r="H481"/>
  <c r="M481" s="1"/>
  <c r="H480"/>
  <c r="M480" s="1"/>
  <c r="H479"/>
  <c r="M479" s="1"/>
  <c r="H478"/>
  <c r="M478" s="1"/>
  <c r="H477"/>
  <c r="M477" s="1"/>
  <c r="H476"/>
  <c r="M476" s="1"/>
  <c r="H475"/>
  <c r="M475" s="1"/>
  <c r="H474"/>
  <c r="M474" s="1"/>
  <c r="H473"/>
  <c r="M473" s="1"/>
  <c r="H472"/>
  <c r="M472" s="1"/>
  <c r="H471"/>
  <c r="M471" s="1"/>
  <c r="H470"/>
  <c r="M470" s="1"/>
  <c r="H469"/>
  <c r="M469" s="1"/>
  <c r="H468"/>
  <c r="M468" s="1"/>
  <c r="H467"/>
  <c r="M467" s="1"/>
  <c r="H466"/>
  <c r="H453"/>
  <c r="M453" s="1"/>
  <c r="H452"/>
  <c r="M452" s="1"/>
  <c r="AB452" s="1"/>
  <c r="H451"/>
  <c r="M451" s="1"/>
  <c r="AB451" s="1"/>
  <c r="H450"/>
  <c r="M450" s="1"/>
  <c r="AB450" s="1"/>
  <c r="H449"/>
  <c r="M449" s="1"/>
  <c r="AB449" s="1"/>
  <c r="H448"/>
  <c r="M448" s="1"/>
  <c r="AB448" s="1"/>
  <c r="H447"/>
  <c r="M447" s="1"/>
  <c r="AB447" s="1"/>
  <c r="H446"/>
  <c r="M446" s="1"/>
  <c r="AB446" s="1"/>
  <c r="H445"/>
  <c r="M445" s="1"/>
  <c r="AB445" s="1"/>
  <c r="H444"/>
  <c r="M444" s="1"/>
  <c r="AB444" s="1"/>
  <c r="H443"/>
  <c r="M443" s="1"/>
  <c r="AB443" s="1"/>
  <c r="H442"/>
  <c r="M442" s="1"/>
  <c r="AB442" s="1"/>
  <c r="H441"/>
  <c r="M441" s="1"/>
  <c r="AB441" s="1"/>
  <c r="H440"/>
  <c r="M440" s="1"/>
  <c r="AB440" s="1"/>
  <c r="H439"/>
  <c r="M439" s="1"/>
  <c r="AB439" s="1"/>
  <c r="H438"/>
  <c r="M438" s="1"/>
  <c r="AB438" s="1"/>
  <c r="H437"/>
  <c r="M437" s="1"/>
  <c r="AB437" s="1"/>
  <c r="H436"/>
  <c r="M436" s="1"/>
  <c r="AB436" s="1"/>
  <c r="H435"/>
  <c r="M435" s="1"/>
  <c r="AB435" s="1"/>
  <c r="H434"/>
  <c r="M434" s="1"/>
  <c r="AB434" s="1"/>
  <c r="H433"/>
  <c r="M433" s="1"/>
  <c r="AB433" s="1"/>
  <c r="H432"/>
  <c r="H412"/>
  <c r="M412" s="1"/>
  <c r="H411"/>
  <c r="M411" s="1"/>
  <c r="AB411" s="1"/>
  <c r="H410"/>
  <c r="M410" s="1"/>
  <c r="AB410" s="1"/>
  <c r="H409"/>
  <c r="M409" s="1"/>
  <c r="AB409" s="1"/>
  <c r="H408"/>
  <c r="M408" s="1"/>
  <c r="AB408" s="1"/>
  <c r="H407"/>
  <c r="M407" s="1"/>
  <c r="AB407" s="1"/>
  <c r="H406"/>
  <c r="M406" s="1"/>
  <c r="AB406" s="1"/>
  <c r="H405"/>
  <c r="M405" s="1"/>
  <c r="AB405" s="1"/>
  <c r="H404"/>
  <c r="M404" s="1"/>
  <c r="AB404" s="1"/>
  <c r="H403"/>
  <c r="M403" s="1"/>
  <c r="AB403" s="1"/>
  <c r="H402"/>
  <c r="M402" s="1"/>
  <c r="AB402" s="1"/>
  <c r="H401"/>
  <c r="M401" s="1"/>
  <c r="AB401" s="1"/>
  <c r="H400"/>
  <c r="M400" s="1"/>
  <c r="AB400" s="1"/>
  <c r="H399"/>
  <c r="M399" s="1"/>
  <c r="AB399" s="1"/>
  <c r="H398"/>
  <c r="M398" s="1"/>
  <c r="AB398" s="1"/>
  <c r="H397"/>
  <c r="M397" s="1"/>
  <c r="AB397" s="1"/>
  <c r="H396"/>
  <c r="M396" s="1"/>
  <c r="AB396" s="1"/>
  <c r="H395"/>
  <c r="M395" s="1"/>
  <c r="AB395" s="1"/>
  <c r="H394"/>
  <c r="M394" s="1"/>
  <c r="AB394" s="1"/>
  <c r="H393"/>
  <c r="M393" s="1"/>
  <c r="AB393" s="1"/>
  <c r="H392"/>
  <c r="M392" s="1"/>
  <c r="AB392" s="1"/>
  <c r="H391"/>
  <c r="M391" s="1"/>
  <c r="AB391" s="1"/>
  <c r="H390"/>
  <c r="M390" s="1"/>
  <c r="AB390" s="1"/>
  <c r="H389"/>
  <c r="M389" s="1"/>
  <c r="AB389" s="1"/>
  <c r="H388"/>
  <c r="M388" s="1"/>
  <c r="AB388" s="1"/>
  <c r="H387"/>
  <c r="M387" s="1"/>
  <c r="AB387" s="1"/>
  <c r="H386"/>
  <c r="M386" s="1"/>
  <c r="AB386" s="1"/>
  <c r="H385"/>
  <c r="M385" s="1"/>
  <c r="AB385" s="1"/>
  <c r="H384"/>
  <c r="M384" s="1"/>
  <c r="AB384" s="1"/>
  <c r="H383"/>
  <c r="M383" s="1"/>
  <c r="AB383" s="1"/>
  <c r="H382"/>
  <c r="M382" s="1"/>
  <c r="AB382" s="1"/>
  <c r="H381"/>
  <c r="M381" s="1"/>
  <c r="AB381" s="1"/>
  <c r="H380"/>
  <c r="H371"/>
  <c r="M371" s="1"/>
  <c r="H370"/>
  <c r="M370" s="1"/>
  <c r="AB370" s="1"/>
  <c r="H369"/>
  <c r="M369" s="1"/>
  <c r="AB369" s="1"/>
  <c r="AC368"/>
  <c r="H367"/>
  <c r="M367" s="1"/>
  <c r="AB367" s="1"/>
  <c r="H366"/>
  <c r="M366" s="1"/>
  <c r="AB366" s="1"/>
  <c r="H365"/>
  <c r="M365" s="1"/>
  <c r="AB365" s="1"/>
  <c r="H364"/>
  <c r="M364" s="1"/>
  <c r="AB364" s="1"/>
  <c r="H360"/>
  <c r="M360" s="1"/>
  <c r="AB360" s="1"/>
  <c r="H344"/>
  <c r="M344" s="1"/>
  <c r="H343"/>
  <c r="M343" s="1"/>
  <c r="AB343" s="1"/>
  <c r="AC342"/>
  <c r="AC341"/>
  <c r="AC340"/>
  <c r="H339"/>
  <c r="M339" s="1"/>
  <c r="AB339" s="1"/>
  <c r="H338"/>
  <c r="M338" s="1"/>
  <c r="AB338" s="1"/>
  <c r="H337"/>
  <c r="M337" s="1"/>
  <c r="AB337" s="1"/>
  <c r="H336"/>
  <c r="M336" s="1"/>
  <c r="AB336" s="1"/>
  <c r="AC335"/>
  <c r="H334"/>
  <c r="M334" s="1"/>
  <c r="AB334" s="1"/>
  <c r="H333"/>
  <c r="M333" s="1"/>
  <c r="AB333" s="1"/>
  <c r="AC332"/>
  <c r="H331"/>
  <c r="M331" s="1"/>
  <c r="AB331" s="1"/>
  <c r="AC330"/>
  <c r="H329"/>
  <c r="M329" s="1"/>
  <c r="AB329" s="1"/>
  <c r="H328"/>
  <c r="M328" s="1"/>
  <c r="AB328" s="1"/>
  <c r="AC327"/>
  <c r="H326"/>
  <c r="M326" s="1"/>
  <c r="AB326" s="1"/>
  <c r="AC325"/>
  <c r="H324"/>
  <c r="M324" s="1"/>
  <c r="AB324" s="1"/>
  <c r="AC323"/>
  <c r="H322"/>
  <c r="M322" s="1"/>
  <c r="AB322" s="1"/>
  <c r="H321"/>
  <c r="M321" s="1"/>
  <c r="AB321" s="1"/>
  <c r="H320"/>
  <c r="M320" s="1"/>
  <c r="AB320" s="1"/>
  <c r="AC319"/>
  <c r="H318"/>
  <c r="H268"/>
  <c r="M268" s="1"/>
  <c r="AB268" s="1"/>
  <c r="H267"/>
  <c r="M267" s="1"/>
  <c r="AB267" s="1"/>
  <c r="H266"/>
  <c r="M266" s="1"/>
  <c r="AB266" s="1"/>
  <c r="H265"/>
  <c r="M265" s="1"/>
  <c r="AB265" s="1"/>
  <c r="AC264"/>
  <c r="AC263"/>
  <c r="AC262"/>
  <c r="H261"/>
  <c r="M261" s="1"/>
  <c r="AB261" s="1"/>
  <c r="H260"/>
  <c r="M260" s="1"/>
  <c r="AB260" s="1"/>
  <c r="H259"/>
  <c r="M259" s="1"/>
  <c r="AB259" s="1"/>
  <c r="H258"/>
  <c r="M258" s="1"/>
  <c r="AB258" s="1"/>
  <c r="AC257"/>
  <c r="H256"/>
  <c r="M256" s="1"/>
  <c r="AB256" s="1"/>
  <c r="AC255"/>
  <c r="H254"/>
  <c r="M254" s="1"/>
  <c r="AB254" s="1"/>
  <c r="AC253"/>
  <c r="H252"/>
  <c r="M252" s="1"/>
  <c r="AB252" s="1"/>
  <c r="H251"/>
  <c r="M251" s="1"/>
  <c r="AB251" s="1"/>
  <c r="AC250"/>
  <c r="H249"/>
  <c r="M249" s="1"/>
  <c r="AB249" s="1"/>
  <c r="H248"/>
  <c r="M248" s="1"/>
  <c r="AB248" s="1"/>
  <c r="H247"/>
  <c r="M247" s="1"/>
  <c r="AB247" s="1"/>
  <c r="H246"/>
  <c r="M246" s="1"/>
  <c r="AB246" s="1"/>
  <c r="AC245"/>
  <c r="H244"/>
  <c r="M244" s="1"/>
  <c r="AB244" s="1"/>
  <c r="H243"/>
  <c r="M243" s="1"/>
  <c r="AB243" s="1"/>
  <c r="H242"/>
  <c r="M242" s="1"/>
  <c r="AB242" s="1"/>
  <c r="H241"/>
  <c r="M241" s="1"/>
  <c r="AB241" s="1"/>
  <c r="H240"/>
  <c r="M240" s="1"/>
  <c r="AB240" s="1"/>
  <c r="H239"/>
  <c r="H218"/>
  <c r="M218" s="1"/>
  <c r="H217"/>
  <c r="M217" s="1"/>
  <c r="H216"/>
  <c r="M216" s="1"/>
  <c r="AB216" s="1"/>
  <c r="H215"/>
  <c r="M215" s="1"/>
  <c r="AB215" s="1"/>
  <c r="H214"/>
  <c r="M214" s="1"/>
  <c r="AB214" s="1"/>
  <c r="H213"/>
  <c r="M213" s="1"/>
  <c r="AB213" s="1"/>
  <c r="H212"/>
  <c r="M212" s="1"/>
  <c r="AB212" s="1"/>
  <c r="H211"/>
  <c r="M211" s="1"/>
  <c r="AB211" s="1"/>
  <c r="H210"/>
  <c r="M210" s="1"/>
  <c r="AB210" s="1"/>
  <c r="H209"/>
  <c r="M209" s="1"/>
  <c r="AB209" s="1"/>
  <c r="H207"/>
  <c r="H206"/>
  <c r="M206" s="1"/>
  <c r="AB206" s="1"/>
  <c r="H205"/>
  <c r="M205" s="1"/>
  <c r="AB205" s="1"/>
  <c r="H204"/>
  <c r="H202"/>
  <c r="H201"/>
  <c r="M201" s="1"/>
  <c r="AB201" s="1"/>
  <c r="H200"/>
  <c r="M200" s="1"/>
  <c r="AB200" s="1"/>
  <c r="H199"/>
  <c r="M199" s="1"/>
  <c r="AB199" s="1"/>
  <c r="H198"/>
  <c r="M198" s="1"/>
  <c r="AB198" s="1"/>
  <c r="H197"/>
  <c r="M197" s="1"/>
  <c r="AB197" s="1"/>
  <c r="H196"/>
  <c r="M196" s="1"/>
  <c r="AB196" s="1"/>
  <c r="H194"/>
  <c r="M194" s="1"/>
  <c r="AB194" s="1"/>
  <c r="H193"/>
  <c r="M193" s="1"/>
  <c r="AB193" s="1"/>
  <c r="H192"/>
  <c r="M192" s="1"/>
  <c r="AB192" s="1"/>
  <c r="H191"/>
  <c r="M191" s="1"/>
  <c r="AB191" s="1"/>
  <c r="H190"/>
  <c r="M190" s="1"/>
  <c r="AB190" s="1"/>
  <c r="H189"/>
  <c r="M189" s="1"/>
  <c r="AB189" s="1"/>
  <c r="H188"/>
  <c r="M188" s="1"/>
  <c r="AB188" s="1"/>
  <c r="H187"/>
  <c r="H167"/>
  <c r="H166"/>
  <c r="M166" s="1"/>
  <c r="AB166" s="1"/>
  <c r="H165"/>
  <c r="M165" s="1"/>
  <c r="AB165" s="1"/>
  <c r="H164"/>
  <c r="M164" s="1"/>
  <c r="AB164" s="1"/>
  <c r="H163"/>
  <c r="M163" s="1"/>
  <c r="AB163" s="1"/>
  <c r="H162"/>
  <c r="M162" s="1"/>
  <c r="AB162" s="1"/>
  <c r="H161"/>
  <c r="M161" s="1"/>
  <c r="AB161" s="1"/>
  <c r="H160"/>
  <c r="M160" s="1"/>
  <c r="AB160" s="1"/>
  <c r="H159"/>
  <c r="M159" s="1"/>
  <c r="AB159" s="1"/>
  <c r="H158"/>
  <c r="M158" s="1"/>
  <c r="AB158" s="1"/>
  <c r="H157"/>
  <c r="M157" s="1"/>
  <c r="AB157" s="1"/>
  <c r="H156"/>
  <c r="M156" s="1"/>
  <c r="AB156" s="1"/>
  <c r="H155"/>
  <c r="M155" s="1"/>
  <c r="AB155" s="1"/>
  <c r="H154"/>
  <c r="M154" s="1"/>
  <c r="AB154" s="1"/>
  <c r="H153"/>
  <c r="M153" s="1"/>
  <c r="AB153" s="1"/>
  <c r="H152"/>
  <c r="M152" s="1"/>
  <c r="AB152" s="1"/>
  <c r="H151"/>
  <c r="M151" s="1"/>
  <c r="AB151" s="1"/>
  <c r="H150"/>
  <c r="M150" s="1"/>
  <c r="AB150" s="1"/>
  <c r="H149"/>
  <c r="M149" s="1"/>
  <c r="AB149" s="1"/>
  <c r="H148"/>
  <c r="M148" s="1"/>
  <c r="AB148" s="1"/>
  <c r="H147"/>
  <c r="M147" s="1"/>
  <c r="AB147" s="1"/>
  <c r="H146"/>
  <c r="H122"/>
  <c r="H121"/>
  <c r="H119"/>
  <c r="H117"/>
  <c r="H116"/>
  <c r="H115"/>
  <c r="H114"/>
  <c r="H113"/>
  <c r="H112"/>
  <c r="H111"/>
  <c r="H110"/>
  <c r="H109"/>
  <c r="H108"/>
  <c r="H107"/>
  <c r="H106"/>
  <c r="H105"/>
  <c r="AC105" s="1"/>
  <c r="H65"/>
  <c r="H64"/>
  <c r="H62"/>
  <c r="H61"/>
  <c r="H60"/>
  <c r="H59"/>
  <c r="H58"/>
  <c r="H57"/>
  <c r="H55"/>
  <c r="H54"/>
  <c r="H53"/>
  <c r="H52"/>
  <c r="H51"/>
  <c r="H50"/>
  <c r="H49"/>
  <c r="H48"/>
  <c r="H47"/>
  <c r="H46"/>
  <c r="H45"/>
  <c r="H44"/>
  <c r="H43"/>
  <c r="H41"/>
  <c r="H40"/>
  <c r="H39"/>
  <c r="H38"/>
  <c r="H37"/>
  <c r="H36"/>
  <c r="H34"/>
  <c r="H33"/>
  <c r="H32"/>
  <c r="H31"/>
  <c r="H30"/>
  <c r="H29"/>
  <c r="H28"/>
  <c r="H27"/>
  <c r="H26"/>
  <c r="H24"/>
  <c r="H23"/>
  <c r="H22"/>
  <c r="H21"/>
  <c r="H20"/>
  <c r="H19"/>
  <c r="H18"/>
  <c r="H17"/>
  <c r="H16"/>
  <c r="H15"/>
  <c r="H13"/>
  <c r="H11"/>
  <c r="H10"/>
  <c r="H9"/>
  <c r="H8"/>
  <c r="H7"/>
  <c r="H6"/>
  <c r="H5"/>
  <c r="D104"/>
  <c r="D105"/>
  <c r="D106"/>
  <c r="D107"/>
  <c r="D108"/>
  <c r="D109"/>
  <c r="D110"/>
  <c r="D111"/>
  <c r="D112"/>
  <c r="D113"/>
  <c r="D114"/>
  <c r="D115"/>
  <c r="D116"/>
  <c r="D117"/>
  <c r="D118"/>
  <c r="D119"/>
  <c r="D120"/>
  <c r="D121"/>
  <c r="D122"/>
  <c r="D145"/>
  <c r="D146"/>
  <c r="D147"/>
  <c r="D148"/>
  <c r="D149"/>
  <c r="D150"/>
  <c r="D151"/>
  <c r="D152"/>
  <c r="D153"/>
  <c r="D154"/>
  <c r="D155"/>
  <c r="D156"/>
  <c r="D157"/>
  <c r="D158"/>
  <c r="D159"/>
  <c r="D160"/>
  <c r="D161"/>
  <c r="D162"/>
  <c r="D163"/>
  <c r="D164"/>
  <c r="D165"/>
  <c r="D166"/>
  <c r="D167"/>
  <c r="D186"/>
  <c r="D187"/>
  <c r="D188"/>
  <c r="D189"/>
  <c r="D190"/>
  <c r="D191"/>
  <c r="D192"/>
  <c r="D193"/>
  <c r="D194"/>
  <c r="D195"/>
  <c r="D196"/>
  <c r="D197"/>
  <c r="D198"/>
  <c r="D199"/>
  <c r="D200"/>
  <c r="D201"/>
  <c r="D202"/>
  <c r="D204"/>
  <c r="D205"/>
  <c r="D206"/>
  <c r="D207"/>
  <c r="D209"/>
  <c r="D210"/>
  <c r="D211"/>
  <c r="D212"/>
  <c r="D213"/>
  <c r="D214"/>
  <c r="D215"/>
  <c r="D216"/>
  <c r="D217"/>
  <c r="D218"/>
  <c r="D318"/>
  <c r="D319"/>
  <c r="D320"/>
  <c r="D321"/>
  <c r="D322"/>
  <c r="D323"/>
  <c r="D324"/>
  <c r="D325"/>
  <c r="D326"/>
  <c r="D327"/>
  <c r="D328"/>
  <c r="D329"/>
  <c r="D330"/>
  <c r="D331"/>
  <c r="D332"/>
  <c r="D333"/>
  <c r="D334"/>
  <c r="D335"/>
  <c r="D336"/>
  <c r="D337"/>
  <c r="D338"/>
  <c r="D339"/>
  <c r="D340"/>
  <c r="D341"/>
  <c r="D342"/>
  <c r="D343"/>
  <c r="D344"/>
  <c r="D359"/>
  <c r="D360"/>
  <c r="D361"/>
  <c r="D362"/>
  <c r="D363"/>
  <c r="D364"/>
  <c r="D365"/>
  <c r="D366"/>
  <c r="D367"/>
  <c r="D368"/>
  <c r="D369"/>
  <c r="D370"/>
  <c r="D371"/>
  <c r="D380"/>
  <c r="D381"/>
  <c r="D382"/>
  <c r="D383"/>
  <c r="D384"/>
  <c r="D385"/>
  <c r="D386"/>
  <c r="D387"/>
  <c r="D388"/>
  <c r="D389"/>
  <c r="D390"/>
  <c r="D391"/>
  <c r="D392"/>
  <c r="D393"/>
  <c r="D394"/>
  <c r="D395"/>
  <c r="D396"/>
  <c r="D397"/>
  <c r="D398"/>
  <c r="D399"/>
  <c r="D400"/>
  <c r="D401"/>
  <c r="D402"/>
  <c r="D403"/>
  <c r="D404"/>
  <c r="D405"/>
  <c r="D406"/>
  <c r="D407"/>
  <c r="D408"/>
  <c r="D409"/>
  <c r="D410"/>
  <c r="D411"/>
  <c r="D412"/>
  <c r="D431"/>
  <c r="D432"/>
  <c r="D433"/>
  <c r="D434"/>
  <c r="D435"/>
  <c r="D436"/>
  <c r="D437"/>
  <c r="D438"/>
  <c r="D439"/>
  <c r="D440"/>
  <c r="D441"/>
  <c r="D442"/>
  <c r="D443"/>
  <c r="D444"/>
  <c r="D445"/>
  <c r="D446"/>
  <c r="D447"/>
  <c r="D448"/>
  <c r="D449"/>
  <c r="D450"/>
  <c r="D451"/>
  <c r="D452"/>
  <c r="D453"/>
  <c r="D465"/>
  <c r="D466"/>
  <c r="D467"/>
  <c r="D468"/>
  <c r="D469"/>
  <c r="D470"/>
  <c r="D471"/>
  <c r="D472"/>
  <c r="D473"/>
  <c r="D474"/>
  <c r="D475"/>
  <c r="D476"/>
  <c r="D477"/>
  <c r="D478"/>
  <c r="D479"/>
  <c r="D480"/>
  <c r="D481"/>
  <c r="D482"/>
  <c r="D483"/>
  <c r="D484"/>
  <c r="D485"/>
  <c r="D486"/>
  <c r="D487"/>
  <c r="D488"/>
  <c r="D489"/>
  <c r="D490"/>
  <c r="D491"/>
  <c r="D492"/>
  <c r="D493"/>
  <c r="D494"/>
  <c r="D583"/>
  <c r="D584"/>
  <c r="D585"/>
  <c r="D588"/>
  <c r="D589"/>
  <c r="D605"/>
  <c r="D606"/>
  <c r="D619"/>
  <c r="D620"/>
  <c r="D621"/>
  <c r="D622"/>
  <c r="D623"/>
  <c r="D624"/>
  <c r="D625"/>
  <c r="D626"/>
  <c r="D627"/>
  <c r="D628"/>
  <c r="D629"/>
  <c r="D630"/>
  <c r="D631"/>
  <c r="D632"/>
  <c r="D633"/>
  <c r="D634"/>
  <c r="D635"/>
  <c r="D636"/>
  <c r="D637"/>
  <c r="D638"/>
  <c r="D655"/>
  <c r="D656"/>
  <c r="D657"/>
  <c r="D658"/>
  <c r="D659"/>
  <c r="D660"/>
  <c r="D661"/>
  <c r="D662"/>
  <c r="D663"/>
  <c r="D664"/>
  <c r="D665"/>
  <c r="D666"/>
  <c r="D680"/>
  <c r="D681"/>
  <c r="D682"/>
  <c r="D683"/>
  <c r="D684"/>
  <c r="D685"/>
  <c r="D686"/>
  <c r="D687"/>
  <c r="D688"/>
  <c r="D689"/>
  <c r="D690"/>
  <c r="D691"/>
  <c r="D692"/>
  <c r="D693"/>
  <c r="D694"/>
  <c r="D695"/>
  <c r="D696"/>
  <c r="D697"/>
  <c r="D698"/>
  <c r="D699"/>
  <c r="D700"/>
  <c r="D701"/>
  <c r="D702"/>
  <c r="D703"/>
  <c r="D704"/>
  <c r="D705"/>
  <c r="D706"/>
  <c r="D707"/>
  <c r="D708"/>
  <c r="D709"/>
  <c r="D726"/>
  <c r="D727"/>
  <c r="D728"/>
  <c r="D729"/>
  <c r="D730"/>
  <c r="D731"/>
  <c r="D732"/>
  <c r="D733"/>
  <c r="D734"/>
  <c r="D735"/>
  <c r="D736"/>
  <c r="D737"/>
  <c r="D738"/>
  <c r="D739"/>
  <c r="D758"/>
  <c r="D760"/>
  <c r="D761"/>
  <c r="D762"/>
  <c r="D763"/>
  <c r="D764"/>
  <c r="D765"/>
  <c r="D766"/>
  <c r="D767"/>
  <c r="D768"/>
  <c r="D769"/>
  <c r="D770"/>
  <c r="D771"/>
  <c r="D772"/>
  <c r="D773"/>
  <c r="D774"/>
  <c r="D775"/>
  <c r="D776"/>
  <c r="D777"/>
  <c r="D778"/>
  <c r="D779"/>
  <c r="D780"/>
  <c r="D781"/>
  <c r="D782"/>
  <c r="D783"/>
  <c r="D784"/>
  <c r="D785"/>
  <c r="D786"/>
  <c r="D787"/>
  <c r="D788"/>
  <c r="D789"/>
  <c r="D790"/>
  <c r="D791"/>
  <c r="D792"/>
  <c r="D793"/>
  <c r="D794"/>
  <c r="D795"/>
  <c r="D796"/>
  <c r="D797"/>
  <c r="D798"/>
  <c r="D799"/>
  <c r="D800"/>
  <c r="D801"/>
  <c r="D802"/>
  <c r="D803"/>
  <c r="D804"/>
  <c r="D805"/>
  <c r="D806"/>
  <c r="D807"/>
  <c r="D808"/>
  <c r="D809"/>
  <c r="D810"/>
  <c r="D811"/>
  <c r="D812"/>
  <c r="D813"/>
  <c r="D814"/>
  <c r="D815"/>
  <c r="D816"/>
  <c r="D817"/>
  <c r="D818"/>
  <c r="D819"/>
  <c r="D820"/>
  <c r="D821"/>
  <c r="D822"/>
  <c r="D839"/>
  <c r="D840"/>
  <c r="D841"/>
  <c r="D842"/>
  <c r="D843"/>
  <c r="D844"/>
  <c r="D845"/>
  <c r="D846"/>
  <c r="D847"/>
  <c r="D848"/>
  <c r="D849"/>
  <c r="D850"/>
  <c r="D851"/>
  <c r="D852"/>
  <c r="D853"/>
  <c r="D854"/>
  <c r="D855"/>
  <c r="D856"/>
  <c r="D872"/>
  <c r="D873"/>
  <c r="D874"/>
  <c r="D875"/>
  <c r="D876"/>
  <c r="D877"/>
  <c r="D878"/>
  <c r="D879"/>
  <c r="D880"/>
  <c r="D881"/>
  <c r="D882"/>
  <c r="D883"/>
  <c r="D898"/>
  <c r="D899"/>
  <c r="D900"/>
  <c r="D901"/>
  <c r="D902"/>
  <c r="D903"/>
  <c r="D904"/>
  <c r="D905"/>
  <c r="D906"/>
  <c r="D920"/>
  <c r="D921"/>
  <c r="D922"/>
  <c r="D923"/>
  <c r="D924"/>
  <c r="D925"/>
  <c r="D926"/>
  <c r="D927"/>
  <c r="D928"/>
  <c r="D929"/>
  <c r="D930"/>
  <c r="D931"/>
  <c r="D932"/>
  <c r="D933"/>
  <c r="D934"/>
  <c r="D935"/>
  <c r="D936"/>
  <c r="D937"/>
  <c r="D938"/>
  <c r="D939"/>
  <c r="D940"/>
  <c r="D941"/>
  <c r="D954"/>
  <c r="D955"/>
  <c r="D956"/>
  <c r="D957"/>
  <c r="D958"/>
  <c r="D959"/>
  <c r="D960"/>
  <c r="D961"/>
  <c r="D962"/>
  <c r="D963"/>
  <c r="D964"/>
  <c r="D965"/>
  <c r="D966"/>
  <c r="D967"/>
  <c r="D968"/>
  <c r="D969"/>
  <c r="D970"/>
  <c r="D971"/>
  <c r="D972"/>
  <c r="D973"/>
  <c r="D974"/>
  <c r="D975"/>
  <c r="D976"/>
  <c r="D977"/>
  <c r="D978"/>
  <c r="D979"/>
  <c r="D994"/>
  <c r="D995"/>
  <c r="D996"/>
  <c r="D997"/>
  <c r="D998"/>
  <c r="D999"/>
  <c r="D1000"/>
  <c r="D1001"/>
  <c r="D1002"/>
  <c r="D1003"/>
  <c r="D1004"/>
  <c r="D1005"/>
  <c r="D1006"/>
  <c r="D1007"/>
  <c r="D1008"/>
  <c r="D1009"/>
  <c r="D1010"/>
  <c r="D1011"/>
  <c r="D1012"/>
  <c r="D1013"/>
  <c r="D1014"/>
  <c r="D1015"/>
  <c r="D1016"/>
  <c r="D1017"/>
  <c r="D1018"/>
  <c r="D1039"/>
  <c r="D1040"/>
  <c r="D1041"/>
  <c r="D1042"/>
  <c r="D1043"/>
  <c r="D1044"/>
  <c r="D1045"/>
  <c r="D1046"/>
  <c r="D1047"/>
  <c r="D1048"/>
  <c r="D1049"/>
  <c r="D1050"/>
  <c r="D1051"/>
  <c r="D1052"/>
  <c r="D1053"/>
  <c r="D1054"/>
  <c r="D1055"/>
  <c r="D1056"/>
  <c r="D1057"/>
  <c r="D1058"/>
  <c r="D1059"/>
  <c r="D1060"/>
  <c r="D1061"/>
  <c r="D1062"/>
  <c r="D1063"/>
  <c r="D1064"/>
  <c r="D1065"/>
  <c r="D1066"/>
  <c r="D1067"/>
  <c r="D1068"/>
  <c r="D1069"/>
  <c r="D1070"/>
  <c r="D1071"/>
  <c r="D1072"/>
  <c r="D1073"/>
  <c r="D1074"/>
  <c r="D1075"/>
  <c r="D1076"/>
  <c r="D1077"/>
  <c r="D1078"/>
  <c r="D1079"/>
  <c r="D1080"/>
  <c r="D1096"/>
  <c r="D1097"/>
  <c r="D1099"/>
  <c r="D1100"/>
  <c r="D1101"/>
  <c r="D1120"/>
  <c r="D1121"/>
  <c r="D1122"/>
  <c r="D1123"/>
  <c r="D1124"/>
  <c r="D1125"/>
  <c r="D1126"/>
  <c r="D1127"/>
  <c r="D1128"/>
  <c r="D1129"/>
  <c r="D1146"/>
  <c r="D1147"/>
  <c r="D1148"/>
  <c r="D1149"/>
  <c r="D1150"/>
  <c r="D1151"/>
  <c r="D1152"/>
  <c r="D1153"/>
  <c r="D1154"/>
  <c r="D1155"/>
  <c r="D1156"/>
  <c r="D1170"/>
  <c r="D1171"/>
  <c r="D1186"/>
  <c r="D1187"/>
  <c r="D1188"/>
  <c r="D1189"/>
  <c r="D1190"/>
  <c r="D1191"/>
  <c r="D1192"/>
  <c r="D1193"/>
  <c r="D1205"/>
  <c r="D1206"/>
  <c r="D1219"/>
  <c r="D1220"/>
  <c r="D1221"/>
  <c r="D1222"/>
  <c r="D1234"/>
  <c r="D1247"/>
  <c r="D1249"/>
  <c r="D1264"/>
  <c r="G1193"/>
  <c r="H1193" s="1"/>
  <c r="M1193" s="1"/>
  <c r="G1192"/>
  <c r="H1192" s="1"/>
  <c r="M1192" s="1"/>
  <c r="AB1192" s="1"/>
  <c r="G1191"/>
  <c r="G1190"/>
  <c r="H1190" s="1"/>
  <c r="M1190" s="1"/>
  <c r="AB1190" s="1"/>
  <c r="G1189"/>
  <c r="H1189" s="1"/>
  <c r="M1189" s="1"/>
  <c r="AB1189" s="1"/>
  <c r="G1188"/>
  <c r="H1188" s="1"/>
  <c r="M1188" s="1"/>
  <c r="AB1188" s="1"/>
  <c r="G1187"/>
  <c r="H1187" s="1"/>
  <c r="M1187" s="1"/>
  <c r="AB1187" s="1"/>
  <c r="G1186"/>
  <c r="G363"/>
  <c r="G362"/>
  <c r="G361"/>
  <c r="H361" s="1"/>
  <c r="M361" s="1"/>
  <c r="AB361" s="1"/>
  <c r="G359"/>
  <c r="G195"/>
  <c r="D25" i="5"/>
  <c r="E119" i="4" s="1"/>
  <c r="D27" i="5"/>
  <c r="B118" i="4"/>
  <c r="B145" i="5" s="1"/>
  <c r="B117" i="4"/>
  <c r="B144" i="5" s="1"/>
  <c r="B116" i="4"/>
  <c r="B143" i="5" s="1"/>
  <c r="B115" i="4"/>
  <c r="B142" i="5" s="1"/>
  <c r="B114" i="4"/>
  <c r="B141" i="5" s="1"/>
  <c r="B113" i="4"/>
  <c r="B140" i="5" s="1"/>
  <c r="B112" i="4"/>
  <c r="B139" i="5" s="1"/>
  <c r="B111" i="4"/>
  <c r="B138" i="5" s="1"/>
  <c r="B110" i="4"/>
  <c r="B137" i="5" s="1"/>
  <c r="B109" i="4"/>
  <c r="B136" i="5" s="1"/>
  <c r="B108" i="4"/>
  <c r="B135" i="5" s="1"/>
  <c r="B107" i="4"/>
  <c r="B134" i="5" s="1"/>
  <c r="B106" i="4"/>
  <c r="B133" i="5" s="1"/>
  <c r="B105" i="4"/>
  <c r="B132" i="5" s="1"/>
  <c r="B104" i="4"/>
  <c r="B131" i="5" s="1"/>
  <c r="B103" i="4"/>
  <c r="B130" i="5" s="1"/>
  <c r="B102" i="4"/>
  <c r="B129" i="5" s="1"/>
  <c r="B101" i="4"/>
  <c r="B128" i="5" s="1"/>
  <c r="B100" i="4"/>
  <c r="B127" i="5" s="1"/>
  <c r="B99" i="4"/>
  <c r="B126" i="5" s="1"/>
  <c r="B98" i="4"/>
  <c r="B125" i="5" s="1"/>
  <c r="B97" i="4"/>
  <c r="B124" i="5" s="1"/>
  <c r="B96" i="4"/>
  <c r="B123" i="5" s="1"/>
  <c r="B95" i="4"/>
  <c r="B122" i="5" s="1"/>
  <c r="B94" i="4"/>
  <c r="B121" i="5" s="1"/>
  <c r="B93" i="4"/>
  <c r="B120" i="5" s="1"/>
  <c r="B92" i="4"/>
  <c r="B119" i="5" s="1"/>
  <c r="B91" i="4"/>
  <c r="B118" i="5" s="1"/>
  <c r="B90" i="4"/>
  <c r="B117" i="5" s="1"/>
  <c r="B89" i="4"/>
  <c r="B116" i="5" s="1"/>
  <c r="B88" i="4"/>
  <c r="B115" i="5" s="1"/>
  <c r="B87" i="4"/>
  <c r="B114" i="5" s="1"/>
  <c r="B86" i="4"/>
  <c r="B113" i="5" s="1"/>
  <c r="B85" i="4"/>
  <c r="B112" i="5" s="1"/>
  <c r="B84" i="4"/>
  <c r="B111" i="5" s="1"/>
  <c r="B83" i="4"/>
  <c r="B110" i="5" s="1"/>
  <c r="B82" i="4"/>
  <c r="B109" i="5" s="1"/>
  <c r="B81" i="4"/>
  <c r="B108" i="5" s="1"/>
  <c r="B80" i="4"/>
  <c r="B107" i="5" s="1"/>
  <c r="B79" i="4"/>
  <c r="B106" i="5" s="1"/>
  <c r="B78" i="4"/>
  <c r="B105" i="5" s="1"/>
  <c r="B77" i="4"/>
  <c r="B104" i="5" s="1"/>
  <c r="B76" i="4"/>
  <c r="B103" i="5" s="1"/>
  <c r="B75" i="4"/>
  <c r="B102" i="5" s="1"/>
  <c r="B74" i="4"/>
  <c r="B101" i="5" s="1"/>
  <c r="B73" i="4"/>
  <c r="B100" i="5" s="1"/>
  <c r="B72" i="4"/>
  <c r="B99" i="5" s="1"/>
  <c r="B71" i="4"/>
  <c r="B98" i="5" s="1"/>
  <c r="B70" i="4"/>
  <c r="B97" i="5" s="1"/>
  <c r="B69" i="4"/>
  <c r="B96" i="5" s="1"/>
  <c r="B68" i="4"/>
  <c r="B95" i="5" s="1"/>
  <c r="B67" i="4"/>
  <c r="B94" i="5" s="1"/>
  <c r="B66" i="4"/>
  <c r="B93" i="5" s="1"/>
  <c r="B65" i="4"/>
  <c r="B92" i="5" s="1"/>
  <c r="B64" i="4"/>
  <c r="B91" i="5" s="1"/>
  <c r="B63" i="4"/>
  <c r="B90" i="5" s="1"/>
  <c r="B62" i="4"/>
  <c r="B89" i="5" s="1"/>
  <c r="B61" i="4"/>
  <c r="B88" i="5" s="1"/>
  <c r="B60" i="4"/>
  <c r="B87" i="5" s="1"/>
  <c r="B59" i="4"/>
  <c r="B86" i="5" s="1"/>
  <c r="B58" i="4"/>
  <c r="B85" i="5" s="1"/>
  <c r="B57" i="4"/>
  <c r="B84" i="5" s="1"/>
  <c r="B56" i="4"/>
  <c r="B83" i="5" s="1"/>
  <c r="B55" i="4"/>
  <c r="B82" i="5" s="1"/>
  <c r="B54" i="4"/>
  <c r="B81" i="5" s="1"/>
  <c r="B53" i="4"/>
  <c r="B80" i="5" s="1"/>
  <c r="B52" i="4"/>
  <c r="B79" i="5" s="1"/>
  <c r="B51" i="4"/>
  <c r="B78" i="5" s="1"/>
  <c r="B50" i="4"/>
  <c r="B77" i="5" s="1"/>
  <c r="B49" i="4"/>
  <c r="B76" i="5" s="1"/>
  <c r="B48" i="4"/>
  <c r="B75" i="5" s="1"/>
  <c r="B47" i="4"/>
  <c r="B74" i="5" s="1"/>
  <c r="B46" i="4"/>
  <c r="B73" i="5" s="1"/>
  <c r="B45" i="4"/>
  <c r="B72" i="5" s="1"/>
  <c r="B44" i="4"/>
  <c r="B71" i="5" s="1"/>
  <c r="B43" i="4"/>
  <c r="B70" i="5" s="1"/>
  <c r="B42" i="4"/>
  <c r="B69" i="5" s="1"/>
  <c r="B41" i="4"/>
  <c r="B68" i="5" s="1"/>
  <c r="B40" i="4"/>
  <c r="B67" i="5" s="1"/>
  <c r="B39" i="4"/>
  <c r="B66" i="5" s="1"/>
  <c r="B38" i="4"/>
  <c r="B65" i="5" s="1"/>
  <c r="B37" i="4"/>
  <c r="B64" i="5" s="1"/>
  <c r="B36" i="4"/>
  <c r="B63" i="5" s="1"/>
  <c r="B35" i="4"/>
  <c r="B62" i="5" s="1"/>
  <c r="B34" i="4"/>
  <c r="B61" i="5" s="1"/>
  <c r="B33" i="4"/>
  <c r="B60" i="5" s="1"/>
  <c r="B32" i="4"/>
  <c r="B59" i="5" s="1"/>
  <c r="B31" i="4"/>
  <c r="B58" i="5" s="1"/>
  <c r="B30" i="4"/>
  <c r="B57" i="5" s="1"/>
  <c r="B29" i="4"/>
  <c r="B56" i="5" s="1"/>
  <c r="B28" i="4"/>
  <c r="B55" i="5" s="1"/>
  <c r="B27" i="4"/>
  <c r="B54" i="5" s="1"/>
  <c r="B26" i="4"/>
  <c r="B53" i="5" s="1"/>
  <c r="B25" i="4"/>
  <c r="B52" i="5" s="1"/>
  <c r="B24" i="4"/>
  <c r="B51" i="5" s="1"/>
  <c r="B23" i="4"/>
  <c r="B50" i="5" s="1"/>
  <c r="B22" i="4"/>
  <c r="B49" i="5" s="1"/>
  <c r="B21" i="4"/>
  <c r="B48" i="5" s="1"/>
  <c r="B20" i="4"/>
  <c r="B47" i="5" s="1"/>
  <c r="B19" i="4"/>
  <c r="B46" i="5" s="1"/>
  <c r="B18" i="4"/>
  <c r="B45" i="5" s="1"/>
  <c r="B17" i="4"/>
  <c r="B44" i="5" s="1"/>
  <c r="B16" i="4"/>
  <c r="B43" i="5" s="1"/>
  <c r="B15" i="4"/>
  <c r="B42" i="5" s="1"/>
  <c r="B14" i="4"/>
  <c r="B41" i="5" s="1"/>
  <c r="B13" i="4"/>
  <c r="B40" i="5" s="1"/>
  <c r="B12" i="4"/>
  <c r="B39" i="5" s="1"/>
  <c r="B11" i="4"/>
  <c r="B38" i="5" s="1"/>
  <c r="B10" i="4"/>
  <c r="B37" i="5" s="1"/>
  <c r="B9" i="4"/>
  <c r="B36" i="5" s="1"/>
  <c r="B8" i="4"/>
  <c r="B35" i="5" s="1"/>
  <c r="B7" i="4"/>
  <c r="B34" i="5" s="1"/>
  <c r="B6" i="4"/>
  <c r="LZ71" i="17" l="1"/>
  <c r="MN13"/>
  <c r="MA13"/>
  <c r="MA71" s="1"/>
  <c r="II33"/>
  <c r="IL33" s="1"/>
  <c r="IL66"/>
  <c r="H504" i="6"/>
  <c r="H317"/>
  <c r="M13"/>
  <c r="AB13" s="1"/>
  <c r="AC13"/>
  <c r="M22"/>
  <c r="AB22" s="1"/>
  <c r="AC22"/>
  <c r="M31"/>
  <c r="AB31" s="1"/>
  <c r="AC31"/>
  <c r="M40"/>
  <c r="AB40" s="1"/>
  <c r="AC40"/>
  <c r="M49"/>
  <c r="AB49" s="1"/>
  <c r="AC49"/>
  <c r="M58"/>
  <c r="AB58" s="1"/>
  <c r="AC58"/>
  <c r="M106"/>
  <c r="AB106" s="1"/>
  <c r="AC106"/>
  <c r="M114"/>
  <c r="AB114" s="1"/>
  <c r="AC114"/>
  <c r="R217"/>
  <c r="AB217"/>
  <c r="R471"/>
  <c r="AB471"/>
  <c r="R479"/>
  <c r="X479" s="1"/>
  <c r="AB479"/>
  <c r="R487"/>
  <c r="AB487"/>
  <c r="R590"/>
  <c r="AB590"/>
  <c r="R666"/>
  <c r="X666" s="1"/>
  <c r="AB666"/>
  <c r="R906"/>
  <c r="AB906"/>
  <c r="R979"/>
  <c r="AB979"/>
  <c r="R1018"/>
  <c r="AB1018"/>
  <c r="R1129"/>
  <c r="X1129" s="1"/>
  <c r="AB1129"/>
  <c r="R1222"/>
  <c r="AB1222"/>
  <c r="H2"/>
  <c r="AC5"/>
  <c r="M15"/>
  <c r="AB15" s="1"/>
  <c r="AC15"/>
  <c r="M23"/>
  <c r="AB23" s="1"/>
  <c r="AC23"/>
  <c r="M32"/>
  <c r="AB32" s="1"/>
  <c r="AC32"/>
  <c r="M41"/>
  <c r="AB41" s="1"/>
  <c r="AC41"/>
  <c r="M50"/>
  <c r="AB50" s="1"/>
  <c r="AC50"/>
  <c r="M59"/>
  <c r="AB59" s="1"/>
  <c r="AC59"/>
  <c r="M107"/>
  <c r="AB107" s="1"/>
  <c r="AC107"/>
  <c r="M115"/>
  <c r="AB115" s="1"/>
  <c r="AC115"/>
  <c r="R218"/>
  <c r="AB218"/>
  <c r="R472"/>
  <c r="AB472"/>
  <c r="R480"/>
  <c r="AB480"/>
  <c r="R488"/>
  <c r="AB488"/>
  <c r="M6"/>
  <c r="AB6" s="1"/>
  <c r="AC6"/>
  <c r="M16"/>
  <c r="AB16" s="1"/>
  <c r="AC16"/>
  <c r="M24"/>
  <c r="AB24" s="1"/>
  <c r="AC24"/>
  <c r="M33"/>
  <c r="AB33" s="1"/>
  <c r="AC33"/>
  <c r="M43"/>
  <c r="AB43" s="1"/>
  <c r="AC43"/>
  <c r="M51"/>
  <c r="AB51" s="1"/>
  <c r="AC51"/>
  <c r="M60"/>
  <c r="AB60" s="1"/>
  <c r="AC60"/>
  <c r="M108"/>
  <c r="AB108" s="1"/>
  <c r="AC108"/>
  <c r="M116"/>
  <c r="AB116" s="1"/>
  <c r="AC116"/>
  <c r="R344"/>
  <c r="X344" s="1"/>
  <c r="AB344"/>
  <c r="R453"/>
  <c r="AB453"/>
  <c r="R473"/>
  <c r="AB473"/>
  <c r="R481"/>
  <c r="AB481"/>
  <c r="R489"/>
  <c r="AB489"/>
  <c r="R594"/>
  <c r="AB594"/>
  <c r="R1156"/>
  <c r="AB1156"/>
  <c r="M7"/>
  <c r="AB7" s="1"/>
  <c r="AC7"/>
  <c r="M17"/>
  <c r="AB17" s="1"/>
  <c r="AC17"/>
  <c r="M26"/>
  <c r="AB26" s="1"/>
  <c r="AC26"/>
  <c r="M34"/>
  <c r="AB34" s="1"/>
  <c r="AC34"/>
  <c r="M44"/>
  <c r="AB44" s="1"/>
  <c r="AC44"/>
  <c r="M52"/>
  <c r="AB52" s="1"/>
  <c r="AC52"/>
  <c r="M61"/>
  <c r="AB61" s="1"/>
  <c r="AC61"/>
  <c r="M109"/>
  <c r="AB109" s="1"/>
  <c r="AC109"/>
  <c r="M117"/>
  <c r="AB117" s="1"/>
  <c r="AC117"/>
  <c r="R371"/>
  <c r="AB371"/>
  <c r="R474"/>
  <c r="X474" s="1"/>
  <c r="AB474"/>
  <c r="R482"/>
  <c r="AB482"/>
  <c r="R490"/>
  <c r="AB490"/>
  <c r="R1097"/>
  <c r="AB1097"/>
  <c r="M8"/>
  <c r="AB8" s="1"/>
  <c r="AC8"/>
  <c r="M18"/>
  <c r="AB18" s="1"/>
  <c r="AC18"/>
  <c r="M27"/>
  <c r="AB27" s="1"/>
  <c r="AC27"/>
  <c r="M36"/>
  <c r="AB36" s="1"/>
  <c r="AC36"/>
  <c r="M45"/>
  <c r="AB45" s="1"/>
  <c r="AC45"/>
  <c r="M53"/>
  <c r="AB53" s="1"/>
  <c r="AC53"/>
  <c r="M62"/>
  <c r="AB62" s="1"/>
  <c r="AC62"/>
  <c r="M110"/>
  <c r="AB110" s="1"/>
  <c r="AC110"/>
  <c r="M119"/>
  <c r="AB119" s="1"/>
  <c r="AC119"/>
  <c r="M167"/>
  <c r="AC167"/>
  <c r="R412"/>
  <c r="AB412"/>
  <c r="R467"/>
  <c r="AB467"/>
  <c r="R475"/>
  <c r="X475" s="1"/>
  <c r="AB475"/>
  <c r="R483"/>
  <c r="AB483"/>
  <c r="R491"/>
  <c r="AB491"/>
  <c r="R597"/>
  <c r="X597" s="1"/>
  <c r="AB597"/>
  <c r="R739"/>
  <c r="AB739"/>
  <c r="R822"/>
  <c r="AB822"/>
  <c r="R1099"/>
  <c r="AB1099"/>
  <c r="M9"/>
  <c r="AB9" s="1"/>
  <c r="AC9"/>
  <c r="M19"/>
  <c r="AB19" s="1"/>
  <c r="AC19"/>
  <c r="M28"/>
  <c r="AB28" s="1"/>
  <c r="AC28"/>
  <c r="M37"/>
  <c r="AB37" s="1"/>
  <c r="AC37"/>
  <c r="M46"/>
  <c r="AB46" s="1"/>
  <c r="AC46"/>
  <c r="M54"/>
  <c r="AB54" s="1"/>
  <c r="AC54"/>
  <c r="M64"/>
  <c r="AB64" s="1"/>
  <c r="AC64"/>
  <c r="M111"/>
  <c r="AB111" s="1"/>
  <c r="AC111"/>
  <c r="M121"/>
  <c r="AB121" s="1"/>
  <c r="AC121"/>
  <c r="R468"/>
  <c r="X468" s="1"/>
  <c r="AB468"/>
  <c r="R476"/>
  <c r="AB476"/>
  <c r="R484"/>
  <c r="AB484"/>
  <c r="R492"/>
  <c r="AB492"/>
  <c r="R585"/>
  <c r="X585" s="1"/>
  <c r="AB585"/>
  <c r="R598"/>
  <c r="AB598"/>
  <c r="R856"/>
  <c r="AB856"/>
  <c r="R1100"/>
  <c r="AB1100"/>
  <c r="R1193"/>
  <c r="AB1193"/>
  <c r="M10"/>
  <c r="AB10" s="1"/>
  <c r="AC10"/>
  <c r="M20"/>
  <c r="AB20" s="1"/>
  <c r="AC20"/>
  <c r="M29"/>
  <c r="AB29" s="1"/>
  <c r="AC29"/>
  <c r="M38"/>
  <c r="AB38" s="1"/>
  <c r="AC38"/>
  <c r="M47"/>
  <c r="AB47" s="1"/>
  <c r="AC47"/>
  <c r="M55"/>
  <c r="AB55" s="1"/>
  <c r="AC55"/>
  <c r="M65"/>
  <c r="AB65" s="1"/>
  <c r="AC65"/>
  <c r="M112"/>
  <c r="AB112" s="1"/>
  <c r="AC112"/>
  <c r="M122"/>
  <c r="AC122"/>
  <c r="R469"/>
  <c r="X469" s="1"/>
  <c r="AB469"/>
  <c r="R477"/>
  <c r="AB477"/>
  <c r="R485"/>
  <c r="X485" s="1"/>
  <c r="AB485"/>
  <c r="R493"/>
  <c r="AB493"/>
  <c r="R709"/>
  <c r="AB709"/>
  <c r="R941"/>
  <c r="X941" s="1"/>
  <c r="AB941"/>
  <c r="R1101"/>
  <c r="X1101" s="1"/>
  <c r="AB1101"/>
  <c r="M11"/>
  <c r="AB11" s="1"/>
  <c r="AC11"/>
  <c r="M21"/>
  <c r="AB21" s="1"/>
  <c r="AC21"/>
  <c r="M30"/>
  <c r="AB30" s="1"/>
  <c r="AC30"/>
  <c r="M39"/>
  <c r="AB39" s="1"/>
  <c r="AC39"/>
  <c r="M48"/>
  <c r="AB48" s="1"/>
  <c r="AC48"/>
  <c r="M57"/>
  <c r="AB57" s="1"/>
  <c r="AC57"/>
  <c r="M113"/>
  <c r="AB113" s="1"/>
  <c r="AC113"/>
  <c r="M207"/>
  <c r="AB207" s="1"/>
  <c r="AC207"/>
  <c r="R470"/>
  <c r="AB470"/>
  <c r="R478"/>
  <c r="AB478"/>
  <c r="R486"/>
  <c r="X486" s="1"/>
  <c r="AB486"/>
  <c r="R494"/>
  <c r="AB494"/>
  <c r="R589"/>
  <c r="AB589"/>
  <c r="R604"/>
  <c r="X604" s="1"/>
  <c r="AB604"/>
  <c r="H679"/>
  <c r="M899"/>
  <c r="AB899" s="1"/>
  <c r="AB897" s="1"/>
  <c r="H897"/>
  <c r="H919"/>
  <c r="H993"/>
  <c r="M1147"/>
  <c r="AB1147" s="1"/>
  <c r="AB1145" s="1"/>
  <c r="H1145"/>
  <c r="H238"/>
  <c r="H618"/>
  <c r="H1095"/>
  <c r="M466"/>
  <c r="M464" s="1"/>
  <c r="EO32" i="17" s="1"/>
  <c r="ER32" s="1"/>
  <c r="H464" i="6"/>
  <c r="M1042"/>
  <c r="AB1042" s="1"/>
  <c r="AB1038" s="1"/>
  <c r="H1038"/>
  <c r="H379"/>
  <c r="M584"/>
  <c r="H582"/>
  <c r="M105"/>
  <c r="AB105" s="1"/>
  <c r="H103"/>
  <c r="L103" s="1"/>
  <c r="M187"/>
  <c r="AB187" s="1"/>
  <c r="M432"/>
  <c r="AB432" s="1"/>
  <c r="AB430" s="1"/>
  <c r="H430"/>
  <c r="H654"/>
  <c r="H1218"/>
  <c r="M841"/>
  <c r="AB841" s="1"/>
  <c r="AB838" s="1"/>
  <c r="H838"/>
  <c r="M146"/>
  <c r="AB146" s="1"/>
  <c r="H144"/>
  <c r="H725"/>
  <c r="M874"/>
  <c r="H871"/>
  <c r="H953"/>
  <c r="H1119"/>
  <c r="M5"/>
  <c r="AB5" s="1"/>
  <c r="X217"/>
  <c r="X487"/>
  <c r="X590"/>
  <c r="X979"/>
  <c r="X1018"/>
  <c r="X218"/>
  <c r="X488"/>
  <c r="X473"/>
  <c r="X481"/>
  <c r="X1156"/>
  <c r="X482"/>
  <c r="X490"/>
  <c r="X412"/>
  <c r="X483"/>
  <c r="X491"/>
  <c r="X822"/>
  <c r="X1099"/>
  <c r="X476"/>
  <c r="X484"/>
  <c r="X598"/>
  <c r="X856"/>
  <c r="X493"/>
  <c r="X709"/>
  <c r="C87"/>
  <c r="X86"/>
  <c r="X470"/>
  <c r="X478"/>
  <c r="X589"/>
  <c r="M760"/>
  <c r="H759"/>
  <c r="M1038"/>
  <c r="M1145"/>
  <c r="M430"/>
  <c r="EA32" i="17" s="1"/>
  <c r="ED32" s="1"/>
  <c r="L202" i="6"/>
  <c r="M202"/>
  <c r="L511"/>
  <c r="M511"/>
  <c r="AB511" s="1"/>
  <c r="L513"/>
  <c r="M513"/>
  <c r="L515"/>
  <c r="M515"/>
  <c r="L524"/>
  <c r="M524"/>
  <c r="L532"/>
  <c r="M532"/>
  <c r="AB532" s="1"/>
  <c r="L535"/>
  <c r="M535"/>
  <c r="L542"/>
  <c r="M542"/>
  <c r="AB542" s="1"/>
  <c r="L547"/>
  <c r="M547"/>
  <c r="AB547" s="1"/>
  <c r="L556"/>
  <c r="M556"/>
  <c r="L559"/>
  <c r="M559"/>
  <c r="AB559" s="1"/>
  <c r="L564"/>
  <c r="M564"/>
  <c r="AB564" s="1"/>
  <c r="L655"/>
  <c r="M655"/>
  <c r="L680"/>
  <c r="M680"/>
  <c r="L726"/>
  <c r="M726"/>
  <c r="L758"/>
  <c r="M758"/>
  <c r="M757" s="1"/>
  <c r="II32" i="17" s="1"/>
  <c r="IL32" s="1"/>
  <c r="L920" i="6"/>
  <c r="M920"/>
  <c r="L954"/>
  <c r="M954"/>
  <c r="L1120"/>
  <c r="M1120"/>
  <c r="L1219"/>
  <c r="M1219"/>
  <c r="L204"/>
  <c r="M204"/>
  <c r="L239"/>
  <c r="M239"/>
  <c r="L318"/>
  <c r="M318"/>
  <c r="L380"/>
  <c r="M380"/>
  <c r="L505"/>
  <c r="M505"/>
  <c r="L518"/>
  <c r="M518"/>
  <c r="AB518" s="1"/>
  <c r="L526"/>
  <c r="M526"/>
  <c r="L529"/>
  <c r="M529"/>
  <c r="AB529" s="1"/>
  <c r="L531"/>
  <c r="M531"/>
  <c r="L538"/>
  <c r="M538"/>
  <c r="AB538" s="1"/>
  <c r="L545"/>
  <c r="M545"/>
  <c r="L555"/>
  <c r="M555"/>
  <c r="L557"/>
  <c r="M557"/>
  <c r="AB557" s="1"/>
  <c r="L560"/>
  <c r="M560"/>
  <c r="L619"/>
  <c r="M619"/>
  <c r="L1096"/>
  <c r="M1096"/>
  <c r="AB1096" s="1"/>
  <c r="AB1095" s="1"/>
  <c r="M582"/>
  <c r="FQ32" i="17" s="1"/>
  <c r="FT32" s="1"/>
  <c r="AC361" i="6"/>
  <c r="L361"/>
  <c r="AC1187"/>
  <c r="L1187"/>
  <c r="AC1189"/>
  <c r="L1189"/>
  <c r="AC1193"/>
  <c r="L1193"/>
  <c r="AC1188"/>
  <c r="L1188"/>
  <c r="AC1190"/>
  <c r="L1190"/>
  <c r="AC1192"/>
  <c r="L1192"/>
  <c r="L6"/>
  <c r="L8"/>
  <c r="L10"/>
  <c r="L16"/>
  <c r="L18"/>
  <c r="L20"/>
  <c r="L22"/>
  <c r="L24"/>
  <c r="L26"/>
  <c r="L5"/>
  <c r="L7"/>
  <c r="L9"/>
  <c r="L11"/>
  <c r="L13"/>
  <c r="L15"/>
  <c r="L17"/>
  <c r="L19"/>
  <c r="L21"/>
  <c r="L23"/>
  <c r="L28"/>
  <c r="L30"/>
  <c r="L32"/>
  <c r="L34"/>
  <c r="L36"/>
  <c r="L38"/>
  <c r="L40"/>
  <c r="L44"/>
  <c r="L46"/>
  <c r="L48"/>
  <c r="L50"/>
  <c r="L52"/>
  <c r="L54"/>
  <c r="L58"/>
  <c r="L60"/>
  <c r="L62"/>
  <c r="L64"/>
  <c r="L105"/>
  <c r="L107"/>
  <c r="L109"/>
  <c r="L111"/>
  <c r="L113"/>
  <c r="L115"/>
  <c r="L117"/>
  <c r="L119"/>
  <c r="L121"/>
  <c r="AC146"/>
  <c r="L146"/>
  <c r="AC148"/>
  <c r="L148"/>
  <c r="AC150"/>
  <c r="L150"/>
  <c r="AC152"/>
  <c r="L152"/>
  <c r="AC154"/>
  <c r="L154"/>
  <c r="AC156"/>
  <c r="L156"/>
  <c r="AC158"/>
  <c r="L158"/>
  <c r="AC160"/>
  <c r="L160"/>
  <c r="AC162"/>
  <c r="L162"/>
  <c r="AC164"/>
  <c r="L164"/>
  <c r="AC166"/>
  <c r="L166"/>
  <c r="AC187"/>
  <c r="L187"/>
  <c r="AC189"/>
  <c r="L189"/>
  <c r="AC191"/>
  <c r="L191"/>
  <c r="AC193"/>
  <c r="L193"/>
  <c r="AC196"/>
  <c r="L196"/>
  <c r="AC198"/>
  <c r="L198"/>
  <c r="AC200"/>
  <c r="L200"/>
  <c r="AC205"/>
  <c r="L205"/>
  <c r="L207"/>
  <c r="AC210"/>
  <c r="L210"/>
  <c r="AC212"/>
  <c r="L212"/>
  <c r="AC214"/>
  <c r="L214"/>
  <c r="AC216"/>
  <c r="L216"/>
  <c r="AC218"/>
  <c r="L218"/>
  <c r="AC240"/>
  <c r="L240"/>
  <c r="AC242"/>
  <c r="L242"/>
  <c r="AC244"/>
  <c r="L244"/>
  <c r="AC246"/>
  <c r="L246"/>
  <c r="AC248"/>
  <c r="L248"/>
  <c r="AC252"/>
  <c r="L252"/>
  <c r="AC254"/>
  <c r="L254"/>
  <c r="AC256"/>
  <c r="L256"/>
  <c r="AC258"/>
  <c r="L258"/>
  <c r="AC260"/>
  <c r="L260"/>
  <c r="AC266"/>
  <c r="L266"/>
  <c r="AC268"/>
  <c r="L268"/>
  <c r="AC321"/>
  <c r="L321"/>
  <c r="AC329"/>
  <c r="L329"/>
  <c r="AC331"/>
  <c r="L331"/>
  <c r="AC333"/>
  <c r="L333"/>
  <c r="AC337"/>
  <c r="L337"/>
  <c r="AC339"/>
  <c r="L339"/>
  <c r="AC343"/>
  <c r="L343"/>
  <c r="AC360"/>
  <c r="L360"/>
  <c r="AC365"/>
  <c r="L365"/>
  <c r="AC367"/>
  <c r="L367"/>
  <c r="AC369"/>
  <c r="L369"/>
  <c r="AC371"/>
  <c r="L371"/>
  <c r="AC381"/>
  <c r="L381"/>
  <c r="AC383"/>
  <c r="L383"/>
  <c r="AC385"/>
  <c r="L385"/>
  <c r="AC387"/>
  <c r="L387"/>
  <c r="AC389"/>
  <c r="L389"/>
  <c r="AC391"/>
  <c r="L391"/>
  <c r="AC393"/>
  <c r="L393"/>
  <c r="AC395"/>
  <c r="L395"/>
  <c r="AC397"/>
  <c r="L397"/>
  <c r="AC399"/>
  <c r="L399"/>
  <c r="AC401"/>
  <c r="L401"/>
  <c r="AC403"/>
  <c r="L403"/>
  <c r="AC405"/>
  <c r="L405"/>
  <c r="AC407"/>
  <c r="L407"/>
  <c r="AC409"/>
  <c r="L409"/>
  <c r="AC411"/>
  <c r="L411"/>
  <c r="AC432"/>
  <c r="L432"/>
  <c r="AC434"/>
  <c r="L434"/>
  <c r="AC436"/>
  <c r="L436"/>
  <c r="AC438"/>
  <c r="L438"/>
  <c r="AC440"/>
  <c r="L440"/>
  <c r="AC442"/>
  <c r="L442"/>
  <c r="AC444"/>
  <c r="L444"/>
  <c r="AC446"/>
  <c r="L446"/>
  <c r="AC448"/>
  <c r="L448"/>
  <c r="AC450"/>
  <c r="L450"/>
  <c r="AC452"/>
  <c r="L452"/>
  <c r="AC466"/>
  <c r="L466"/>
  <c r="AC468"/>
  <c r="L468"/>
  <c r="AC470"/>
  <c r="L470"/>
  <c r="AC472"/>
  <c r="L472"/>
  <c r="AC474"/>
  <c r="L474"/>
  <c r="AC476"/>
  <c r="L476"/>
  <c r="AC478"/>
  <c r="L478"/>
  <c r="AC480"/>
  <c r="L480"/>
  <c r="AC482"/>
  <c r="L482"/>
  <c r="AC484"/>
  <c r="L484"/>
  <c r="AC486"/>
  <c r="L486"/>
  <c r="AC488"/>
  <c r="L488"/>
  <c r="AC490"/>
  <c r="L490"/>
  <c r="AC492"/>
  <c r="L492"/>
  <c r="AC494"/>
  <c r="L494"/>
  <c r="AC585"/>
  <c r="L585"/>
  <c r="AC589"/>
  <c r="L589"/>
  <c r="AC598"/>
  <c r="L598"/>
  <c r="AC604"/>
  <c r="L604"/>
  <c r="AC620"/>
  <c r="L620"/>
  <c r="AC622"/>
  <c r="L622"/>
  <c r="AC624"/>
  <c r="L624"/>
  <c r="AC626"/>
  <c r="L626"/>
  <c r="AC628"/>
  <c r="L628"/>
  <c r="AC630"/>
  <c r="L630"/>
  <c r="AC632"/>
  <c r="L632"/>
  <c r="AC634"/>
  <c r="L634"/>
  <c r="AC636"/>
  <c r="L636"/>
  <c r="AC657"/>
  <c r="L657"/>
  <c r="AC659"/>
  <c r="L659"/>
  <c r="AC661"/>
  <c r="L661"/>
  <c r="AC663"/>
  <c r="L663"/>
  <c r="AC665"/>
  <c r="L665"/>
  <c r="AC682"/>
  <c r="L682"/>
  <c r="AC684"/>
  <c r="L684"/>
  <c r="AC686"/>
  <c r="L686"/>
  <c r="AC688"/>
  <c r="L688"/>
  <c r="AC690"/>
  <c r="L690"/>
  <c r="AC692"/>
  <c r="L692"/>
  <c r="AC694"/>
  <c r="L694"/>
  <c r="AC696"/>
  <c r="L696"/>
  <c r="AC698"/>
  <c r="L698"/>
  <c r="AC700"/>
  <c r="L700"/>
  <c r="AC702"/>
  <c r="L702"/>
  <c r="AC704"/>
  <c r="L704"/>
  <c r="AC706"/>
  <c r="L706"/>
  <c r="AC708"/>
  <c r="L708"/>
  <c r="AC728"/>
  <c r="L728"/>
  <c r="AC730"/>
  <c r="L730"/>
  <c r="AC732"/>
  <c r="L732"/>
  <c r="AC734"/>
  <c r="L734"/>
  <c r="AC736"/>
  <c r="L736"/>
  <c r="AC738"/>
  <c r="L738"/>
  <c r="AC761"/>
  <c r="L761"/>
  <c r="AC763"/>
  <c r="L763"/>
  <c r="AC765"/>
  <c r="L765"/>
  <c r="AC767"/>
  <c r="L767"/>
  <c r="AC769"/>
  <c r="L769"/>
  <c r="AC771"/>
  <c r="L771"/>
  <c r="AC773"/>
  <c r="L773"/>
  <c r="AC775"/>
  <c r="L775"/>
  <c r="AC777"/>
  <c r="L777"/>
  <c r="AC779"/>
  <c r="L779"/>
  <c r="AC781"/>
  <c r="L781"/>
  <c r="AC783"/>
  <c r="L783"/>
  <c r="AC785"/>
  <c r="L785"/>
  <c r="AC787"/>
  <c r="L787"/>
  <c r="AC789"/>
  <c r="L789"/>
  <c r="AC791"/>
  <c r="L791"/>
  <c r="AC793"/>
  <c r="L793"/>
  <c r="AC795"/>
  <c r="L795"/>
  <c r="AC797"/>
  <c r="L797"/>
  <c r="AC799"/>
  <c r="L799"/>
  <c r="AC801"/>
  <c r="L801"/>
  <c r="AC803"/>
  <c r="L803"/>
  <c r="AC805"/>
  <c r="L805"/>
  <c r="AC807"/>
  <c r="L807"/>
  <c r="AC809"/>
  <c r="L809"/>
  <c r="AC811"/>
  <c r="L811"/>
  <c r="AC813"/>
  <c r="L813"/>
  <c r="AC815"/>
  <c r="L815"/>
  <c r="AC817"/>
  <c r="L817"/>
  <c r="AC819"/>
  <c r="L819"/>
  <c r="AC821"/>
  <c r="L821"/>
  <c r="AC842"/>
  <c r="L842"/>
  <c r="AC844"/>
  <c r="L844"/>
  <c r="AC848"/>
  <c r="L848"/>
  <c r="AC850"/>
  <c r="L850"/>
  <c r="AC854"/>
  <c r="L854"/>
  <c r="AC856"/>
  <c r="L856"/>
  <c r="AC874"/>
  <c r="L874"/>
  <c r="AC880"/>
  <c r="L880"/>
  <c r="AC882"/>
  <c r="L882"/>
  <c r="AC899"/>
  <c r="L899"/>
  <c r="AC901"/>
  <c r="L901"/>
  <c r="AC903"/>
  <c r="L903"/>
  <c r="AC905"/>
  <c r="L905"/>
  <c r="AC922"/>
  <c r="L922"/>
  <c r="AC924"/>
  <c r="L924"/>
  <c r="AC926"/>
  <c r="L926"/>
  <c r="AC928"/>
  <c r="L928"/>
  <c r="AC930"/>
  <c r="L930"/>
  <c r="AC932"/>
  <c r="L932"/>
  <c r="AC934"/>
  <c r="L934"/>
  <c r="AC936"/>
  <c r="L936"/>
  <c r="AC938"/>
  <c r="L938"/>
  <c r="AC956"/>
  <c r="L956"/>
  <c r="AC958"/>
  <c r="L958"/>
  <c r="AC960"/>
  <c r="L960"/>
  <c r="AC962"/>
  <c r="L962"/>
  <c r="AC964"/>
  <c r="L964"/>
  <c r="AC966"/>
  <c r="L966"/>
  <c r="AC968"/>
  <c r="L968"/>
  <c r="AC970"/>
  <c r="L970"/>
  <c r="AC972"/>
  <c r="L972"/>
  <c r="AC974"/>
  <c r="L974"/>
  <c r="AC976"/>
  <c r="L976"/>
  <c r="AC978"/>
  <c r="L978"/>
  <c r="AC995"/>
  <c r="L995"/>
  <c r="AC997"/>
  <c r="L997"/>
  <c r="AC999"/>
  <c r="L999"/>
  <c r="AC1001"/>
  <c r="L1001"/>
  <c r="AC1003"/>
  <c r="L1003"/>
  <c r="AC1005"/>
  <c r="L1005"/>
  <c r="AC1007"/>
  <c r="L1007"/>
  <c r="AC1009"/>
  <c r="L1009"/>
  <c r="AC1011"/>
  <c r="L1011"/>
  <c r="AC1013"/>
  <c r="L1013"/>
  <c r="AC1015"/>
  <c r="L1015"/>
  <c r="AC1017"/>
  <c r="L1017"/>
  <c r="AC1042"/>
  <c r="L1042"/>
  <c r="AC1044"/>
  <c r="L1044"/>
  <c r="AC1052"/>
  <c r="L1052"/>
  <c r="AC1054"/>
  <c r="L1054"/>
  <c r="AC1056"/>
  <c r="L1056"/>
  <c r="AC1060"/>
  <c r="L1060"/>
  <c r="AC1062"/>
  <c r="L1062"/>
  <c r="AC1064"/>
  <c r="L1064"/>
  <c r="AC1066"/>
  <c r="L1066"/>
  <c r="AC1068"/>
  <c r="L1068"/>
  <c r="AC1072"/>
  <c r="L1072"/>
  <c r="AC1076"/>
  <c r="L1076"/>
  <c r="AC1097"/>
  <c r="L1097"/>
  <c r="AC1100"/>
  <c r="L1100"/>
  <c r="AC1122"/>
  <c r="L1122"/>
  <c r="AC1124"/>
  <c r="L1124"/>
  <c r="AC1126"/>
  <c r="L1126"/>
  <c r="AC1128"/>
  <c r="L1128"/>
  <c r="AC1147"/>
  <c r="L1147"/>
  <c r="AC1149"/>
  <c r="L1149"/>
  <c r="AC1151"/>
  <c r="L1151"/>
  <c r="AC1153"/>
  <c r="L1153"/>
  <c r="AC1155"/>
  <c r="L1155"/>
  <c r="AC1221"/>
  <c r="L1221"/>
  <c r="L27"/>
  <c r="L29"/>
  <c r="L31"/>
  <c r="L33"/>
  <c r="L37"/>
  <c r="L39"/>
  <c r="L41"/>
  <c r="L43"/>
  <c r="L45"/>
  <c r="L47"/>
  <c r="L49"/>
  <c r="L51"/>
  <c r="L53"/>
  <c r="L55"/>
  <c r="L57"/>
  <c r="L59"/>
  <c r="L61"/>
  <c r="L65"/>
  <c r="L106"/>
  <c r="L108"/>
  <c r="L110"/>
  <c r="L112"/>
  <c r="L114"/>
  <c r="L116"/>
  <c r="L122"/>
  <c r="AC147"/>
  <c r="L147"/>
  <c r="AC149"/>
  <c r="L149"/>
  <c r="AC151"/>
  <c r="L151"/>
  <c r="AC153"/>
  <c r="L153"/>
  <c r="AC155"/>
  <c r="L155"/>
  <c r="AC157"/>
  <c r="L157"/>
  <c r="AC159"/>
  <c r="L159"/>
  <c r="AC161"/>
  <c r="L161"/>
  <c r="AC163"/>
  <c r="L163"/>
  <c r="AC165"/>
  <c r="L165"/>
  <c r="L167"/>
  <c r="AC188"/>
  <c r="L188"/>
  <c r="AC190"/>
  <c r="L190"/>
  <c r="AC192"/>
  <c r="L192"/>
  <c r="AC194"/>
  <c r="L194"/>
  <c r="AC197"/>
  <c r="L197"/>
  <c r="AC199"/>
  <c r="L199"/>
  <c r="AC201"/>
  <c r="L201"/>
  <c r="AC206"/>
  <c r="L206"/>
  <c r="AC209"/>
  <c r="L209"/>
  <c r="AC211"/>
  <c r="L211"/>
  <c r="AC213"/>
  <c r="L213"/>
  <c r="AC215"/>
  <c r="L215"/>
  <c r="AC217"/>
  <c r="L217"/>
  <c r="AC241"/>
  <c r="L241"/>
  <c r="AC243"/>
  <c r="L243"/>
  <c r="AC247"/>
  <c r="L247"/>
  <c r="AC249"/>
  <c r="L249"/>
  <c r="AC251"/>
  <c r="L251"/>
  <c r="AC259"/>
  <c r="L259"/>
  <c r="AC261"/>
  <c r="L261"/>
  <c r="AC265"/>
  <c r="L265"/>
  <c r="AC267"/>
  <c r="L267"/>
  <c r="AC320"/>
  <c r="L320"/>
  <c r="AC322"/>
  <c r="L322"/>
  <c r="AC324"/>
  <c r="L324"/>
  <c r="AC326"/>
  <c r="L326"/>
  <c r="AC328"/>
  <c r="L328"/>
  <c r="AC334"/>
  <c r="L334"/>
  <c r="AC336"/>
  <c r="L336"/>
  <c r="AC338"/>
  <c r="L338"/>
  <c r="AC344"/>
  <c r="L344"/>
  <c r="AC364"/>
  <c r="L364"/>
  <c r="AC366"/>
  <c r="L366"/>
  <c r="AC370"/>
  <c r="L370"/>
  <c r="AC382"/>
  <c r="L382"/>
  <c r="AC384"/>
  <c r="L384"/>
  <c r="AC386"/>
  <c r="L386"/>
  <c r="AC388"/>
  <c r="L388"/>
  <c r="AC390"/>
  <c r="L390"/>
  <c r="AC392"/>
  <c r="L392"/>
  <c r="AC394"/>
  <c r="L394"/>
  <c r="AC396"/>
  <c r="L396"/>
  <c r="AC398"/>
  <c r="L398"/>
  <c r="AC400"/>
  <c r="L400"/>
  <c r="AC402"/>
  <c r="L402"/>
  <c r="AC404"/>
  <c r="L404"/>
  <c r="AC406"/>
  <c r="L406"/>
  <c r="AC408"/>
  <c r="L408"/>
  <c r="AC410"/>
  <c r="L410"/>
  <c r="AC412"/>
  <c r="L412"/>
  <c r="AC433"/>
  <c r="L433"/>
  <c r="AC435"/>
  <c r="L435"/>
  <c r="AC437"/>
  <c r="L437"/>
  <c r="AC439"/>
  <c r="L439"/>
  <c r="AC441"/>
  <c r="L441"/>
  <c r="AC443"/>
  <c r="L443"/>
  <c r="AC445"/>
  <c r="L445"/>
  <c r="AC447"/>
  <c r="L447"/>
  <c r="AC449"/>
  <c r="L449"/>
  <c r="AC451"/>
  <c r="L451"/>
  <c r="AC453"/>
  <c r="L453"/>
  <c r="AC467"/>
  <c r="L467"/>
  <c r="AC469"/>
  <c r="L469"/>
  <c r="AC471"/>
  <c r="L471"/>
  <c r="AC473"/>
  <c r="L473"/>
  <c r="AC475"/>
  <c r="L475"/>
  <c r="AC477"/>
  <c r="L477"/>
  <c r="AC479"/>
  <c r="L479"/>
  <c r="AC481"/>
  <c r="L481"/>
  <c r="AC483"/>
  <c r="L483"/>
  <c r="AC485"/>
  <c r="L485"/>
  <c r="AC487"/>
  <c r="L487"/>
  <c r="AC489"/>
  <c r="L489"/>
  <c r="AC491"/>
  <c r="L491"/>
  <c r="AC493"/>
  <c r="L493"/>
  <c r="AC584"/>
  <c r="L584"/>
  <c r="AC590"/>
  <c r="L590"/>
  <c r="AC594"/>
  <c r="L594"/>
  <c r="AC597"/>
  <c r="L597"/>
  <c r="AC621"/>
  <c r="L621"/>
  <c r="AC623"/>
  <c r="L623"/>
  <c r="AC625"/>
  <c r="L625"/>
  <c r="AC627"/>
  <c r="L627"/>
  <c r="AC629"/>
  <c r="L629"/>
  <c r="AC633"/>
  <c r="L633"/>
  <c r="AC635"/>
  <c r="L635"/>
  <c r="AC637"/>
  <c r="L637"/>
  <c r="AC656"/>
  <c r="L656"/>
  <c r="AC658"/>
  <c r="L658"/>
  <c r="AC660"/>
  <c r="L660"/>
  <c r="AC662"/>
  <c r="L662"/>
  <c r="AC664"/>
  <c r="L664"/>
  <c r="AC666"/>
  <c r="L666"/>
  <c r="AC681"/>
  <c r="L681"/>
  <c r="AC683"/>
  <c r="L683"/>
  <c r="AC685"/>
  <c r="L685"/>
  <c r="AC687"/>
  <c r="L687"/>
  <c r="AC689"/>
  <c r="L689"/>
  <c r="AC691"/>
  <c r="L691"/>
  <c r="AC693"/>
  <c r="L693"/>
  <c r="AC695"/>
  <c r="L695"/>
  <c r="AC697"/>
  <c r="L697"/>
  <c r="AC699"/>
  <c r="L699"/>
  <c r="AC701"/>
  <c r="L701"/>
  <c r="AC703"/>
  <c r="L703"/>
  <c r="AC705"/>
  <c r="L705"/>
  <c r="AC707"/>
  <c r="L707"/>
  <c r="AC709"/>
  <c r="L709"/>
  <c r="AC727"/>
  <c r="L727"/>
  <c r="AC729"/>
  <c r="L729"/>
  <c r="AC731"/>
  <c r="L731"/>
  <c r="AC733"/>
  <c r="L733"/>
  <c r="AC735"/>
  <c r="L735"/>
  <c r="AC737"/>
  <c r="L737"/>
  <c r="AC739"/>
  <c r="L739"/>
  <c r="AC760"/>
  <c r="L760"/>
  <c r="AC762"/>
  <c r="L762"/>
  <c r="AC764"/>
  <c r="L764"/>
  <c r="AC766"/>
  <c r="L766"/>
  <c r="AC768"/>
  <c r="L768"/>
  <c r="AC770"/>
  <c r="L770"/>
  <c r="AC772"/>
  <c r="L772"/>
  <c r="AC774"/>
  <c r="L774"/>
  <c r="AC776"/>
  <c r="L776"/>
  <c r="AC778"/>
  <c r="L778"/>
  <c r="AC780"/>
  <c r="L780"/>
  <c r="AC782"/>
  <c r="L782"/>
  <c r="AC784"/>
  <c r="L784"/>
  <c r="AC786"/>
  <c r="L786"/>
  <c r="AC788"/>
  <c r="L788"/>
  <c r="AC790"/>
  <c r="L790"/>
  <c r="AC792"/>
  <c r="L792"/>
  <c r="AC794"/>
  <c r="L794"/>
  <c r="AC796"/>
  <c r="L796"/>
  <c r="AC798"/>
  <c r="L798"/>
  <c r="AC800"/>
  <c r="L800"/>
  <c r="AC802"/>
  <c r="L802"/>
  <c r="AC804"/>
  <c r="L804"/>
  <c r="AC806"/>
  <c r="L806"/>
  <c r="AC808"/>
  <c r="L808"/>
  <c r="AC810"/>
  <c r="L810"/>
  <c r="AC812"/>
  <c r="L812"/>
  <c r="AC814"/>
  <c r="L814"/>
  <c r="AC816"/>
  <c r="L816"/>
  <c r="AC818"/>
  <c r="L818"/>
  <c r="AC820"/>
  <c r="L820"/>
  <c r="AC822"/>
  <c r="L822"/>
  <c r="AC841"/>
  <c r="L841"/>
  <c r="AC843"/>
  <c r="L843"/>
  <c r="AC845"/>
  <c r="L845"/>
  <c r="AC851"/>
  <c r="L851"/>
  <c r="AC853"/>
  <c r="L853"/>
  <c r="AC855"/>
  <c r="L855"/>
  <c r="AC875"/>
  <c r="L875"/>
  <c r="AC879"/>
  <c r="L879"/>
  <c r="AC900"/>
  <c r="L900"/>
  <c r="AC902"/>
  <c r="L902"/>
  <c r="AC904"/>
  <c r="L904"/>
  <c r="AC906"/>
  <c r="L906"/>
  <c r="AC921"/>
  <c r="L921"/>
  <c r="AC925"/>
  <c r="L925"/>
  <c r="AC927"/>
  <c r="L927"/>
  <c r="AC931"/>
  <c r="L931"/>
  <c r="AC933"/>
  <c r="L933"/>
  <c r="AC935"/>
  <c r="L935"/>
  <c r="AC937"/>
  <c r="L937"/>
  <c r="AC939"/>
  <c r="L939"/>
  <c r="AC941"/>
  <c r="L941"/>
  <c r="AC955"/>
  <c r="L955"/>
  <c r="AC957"/>
  <c r="L957"/>
  <c r="AC959"/>
  <c r="L959"/>
  <c r="AC961"/>
  <c r="L961"/>
  <c r="AC963"/>
  <c r="L963"/>
  <c r="AC965"/>
  <c r="L965"/>
  <c r="AC967"/>
  <c r="L967"/>
  <c r="AC969"/>
  <c r="L969"/>
  <c r="AC971"/>
  <c r="L971"/>
  <c r="AC973"/>
  <c r="L973"/>
  <c r="AC975"/>
  <c r="L975"/>
  <c r="AC977"/>
  <c r="L977"/>
  <c r="AC979"/>
  <c r="L979"/>
  <c r="AC996"/>
  <c r="L996"/>
  <c r="AC998"/>
  <c r="L998"/>
  <c r="AC1000"/>
  <c r="L1000"/>
  <c r="AC1002"/>
  <c r="L1002"/>
  <c r="AC1004"/>
  <c r="L1004"/>
  <c r="AC1006"/>
  <c r="L1006"/>
  <c r="AC1008"/>
  <c r="L1008"/>
  <c r="AC1010"/>
  <c r="L1010"/>
  <c r="AC1012"/>
  <c r="L1012"/>
  <c r="AC1014"/>
  <c r="L1014"/>
  <c r="AC1016"/>
  <c r="L1016"/>
  <c r="AC1018"/>
  <c r="L1018"/>
  <c r="AC1043"/>
  <c r="L1043"/>
  <c r="AC1045"/>
  <c r="L1045"/>
  <c r="AC1047"/>
  <c r="L1047"/>
  <c r="AC1049"/>
  <c r="L1049"/>
  <c r="AC1051"/>
  <c r="L1051"/>
  <c r="AC1053"/>
  <c r="L1053"/>
  <c r="AC1055"/>
  <c r="L1055"/>
  <c r="AC1057"/>
  <c r="L1057"/>
  <c r="AC1061"/>
  <c r="L1061"/>
  <c r="AC1065"/>
  <c r="L1065"/>
  <c r="AC1069"/>
  <c r="L1069"/>
  <c r="AC1071"/>
  <c r="L1071"/>
  <c r="AC1073"/>
  <c r="L1073"/>
  <c r="AC1099"/>
  <c r="L1099"/>
  <c r="AC1101"/>
  <c r="L1101"/>
  <c r="AC1121"/>
  <c r="L1121"/>
  <c r="AC1123"/>
  <c r="L1123"/>
  <c r="AC1125"/>
  <c r="L1125"/>
  <c r="AC1127"/>
  <c r="L1127"/>
  <c r="AC1129"/>
  <c r="L1129"/>
  <c r="AC1148"/>
  <c r="L1148"/>
  <c r="AC1150"/>
  <c r="L1150"/>
  <c r="AC1152"/>
  <c r="L1152"/>
  <c r="AC1154"/>
  <c r="L1154"/>
  <c r="AC1156"/>
  <c r="L1156"/>
  <c r="AC1220"/>
  <c r="L1220"/>
  <c r="AC1222"/>
  <c r="L1222"/>
  <c r="H1191"/>
  <c r="M1191" s="1"/>
  <c r="AB1191" s="1"/>
  <c r="AC518"/>
  <c r="AC529"/>
  <c r="AC531"/>
  <c r="AC538"/>
  <c r="AC543"/>
  <c r="AC546"/>
  <c r="AC548"/>
  <c r="AC555"/>
  <c r="AC557"/>
  <c r="AC560"/>
  <c r="AC564"/>
  <c r="AC513"/>
  <c r="AC515"/>
  <c r="AC535"/>
  <c r="AC542"/>
  <c r="AC545"/>
  <c r="AC547"/>
  <c r="AC551"/>
  <c r="AC556"/>
  <c r="AC559"/>
  <c r="AC562"/>
  <c r="AC532"/>
  <c r="AC526"/>
  <c r="AC524"/>
  <c r="AC511"/>
  <c r="AC204"/>
  <c r="AC202"/>
  <c r="K138" i="16"/>
  <c r="D16" i="5"/>
  <c r="E16" s="1"/>
  <c r="D8"/>
  <c r="E8" s="1"/>
  <c r="D7"/>
  <c r="E7" s="1"/>
  <c r="D21"/>
  <c r="E21" s="1"/>
  <c r="D14"/>
  <c r="E14" s="1"/>
  <c r="D6"/>
  <c r="E6" s="1"/>
  <c r="I6" s="1"/>
  <c r="D20"/>
  <c r="E20" s="1"/>
  <c r="D19"/>
  <c r="E19" s="1"/>
  <c r="D9"/>
  <c r="E9" s="1"/>
  <c r="D17"/>
  <c r="E17" s="1"/>
  <c r="D11"/>
  <c r="E11" s="1"/>
  <c r="D18"/>
  <c r="E18" s="1"/>
  <c r="D15"/>
  <c r="E15" s="1"/>
  <c r="D12"/>
  <c r="E12" s="1"/>
  <c r="D13"/>
  <c r="E13" s="1"/>
  <c r="D10"/>
  <c r="E10" s="1"/>
  <c r="I14"/>
  <c r="H363" i="6"/>
  <c r="M363" s="1"/>
  <c r="AB363" s="1"/>
  <c r="H362"/>
  <c r="M362" s="1"/>
  <c r="AB362" s="1"/>
  <c r="AC145"/>
  <c r="AC318"/>
  <c r="L317"/>
  <c r="AC380"/>
  <c r="AC465"/>
  <c r="AC505"/>
  <c r="L504"/>
  <c r="AC583"/>
  <c r="L582"/>
  <c r="AC920"/>
  <c r="AC954"/>
  <c r="L953"/>
  <c r="AC994"/>
  <c r="L993"/>
  <c r="AC1120"/>
  <c r="AC1146"/>
  <c r="AC1247"/>
  <c r="AC1264"/>
  <c r="L2"/>
  <c r="AC186"/>
  <c r="AC239"/>
  <c r="L238"/>
  <c r="AC431"/>
  <c r="AC619"/>
  <c r="L618"/>
  <c r="AC655"/>
  <c r="L654"/>
  <c r="AC680"/>
  <c r="AC726"/>
  <c r="L725"/>
  <c r="AC758"/>
  <c r="AC757" s="1"/>
  <c r="L757"/>
  <c r="AC839"/>
  <c r="AC872"/>
  <c r="L871"/>
  <c r="AC898"/>
  <c r="AC1039"/>
  <c r="AC1096"/>
  <c r="AC1170"/>
  <c r="AC1205"/>
  <c r="AC1219"/>
  <c r="AC1234"/>
  <c r="H359"/>
  <c r="G358"/>
  <c r="H1186"/>
  <c r="G1185"/>
  <c r="H195"/>
  <c r="M195" s="1"/>
  <c r="AB195" s="1"/>
  <c r="G185"/>
  <c r="G1275" s="1"/>
  <c r="B33" i="5"/>
  <c r="M994" i="6"/>
  <c r="AB994" s="1"/>
  <c r="M996"/>
  <c r="AB996" s="1"/>
  <c r="M998"/>
  <c r="AB998" s="1"/>
  <c r="M1000"/>
  <c r="AB1000" s="1"/>
  <c r="M1002"/>
  <c r="AB1002" s="1"/>
  <c r="M1004"/>
  <c r="AB1004" s="1"/>
  <c r="M1006"/>
  <c r="AB1006" s="1"/>
  <c r="M1008"/>
  <c r="AB1008" s="1"/>
  <c r="M1010"/>
  <c r="AB1010" s="1"/>
  <c r="M1012"/>
  <c r="AB1012" s="1"/>
  <c r="M1014"/>
  <c r="AB1014" s="1"/>
  <c r="M1016"/>
  <c r="AB1016" s="1"/>
  <c r="M1263"/>
  <c r="M995"/>
  <c r="AB995" s="1"/>
  <c r="M997"/>
  <c r="AB997" s="1"/>
  <c r="M999"/>
  <c r="AB999" s="1"/>
  <c r="M1001"/>
  <c r="AB1001" s="1"/>
  <c r="M1003"/>
  <c r="AB1003" s="1"/>
  <c r="M1005"/>
  <c r="AB1005" s="1"/>
  <c r="M1007"/>
  <c r="AB1007" s="1"/>
  <c r="M1009"/>
  <c r="AB1009" s="1"/>
  <c r="M1011"/>
  <c r="AB1011" s="1"/>
  <c r="M1013"/>
  <c r="AB1013" s="1"/>
  <c r="M1015"/>
  <c r="AB1015" s="1"/>
  <c r="M1017"/>
  <c r="AB1017" s="1"/>
  <c r="M39" i="16"/>
  <c r="B16" i="1"/>
  <c r="K7" i="5"/>
  <c r="G8"/>
  <c r="G7"/>
  <c r="I8"/>
  <c r="K14"/>
  <c r="G14"/>
  <c r="H11"/>
  <c r="H13"/>
  <c r="F15"/>
  <c r="F16"/>
  <c r="H16"/>
  <c r="P16"/>
  <c r="H20"/>
  <c r="P20"/>
  <c r="F7"/>
  <c r="G11"/>
  <c r="K11"/>
  <c r="F14"/>
  <c r="H14"/>
  <c r="L15"/>
  <c r="K15"/>
  <c r="L16"/>
  <c r="G16"/>
  <c r="K16"/>
  <c r="L21" l="1"/>
  <c r="MN71" i="17"/>
  <c r="MO13"/>
  <c r="MO71" s="1"/>
  <c r="NB13"/>
  <c r="H7" i="5"/>
  <c r="F20"/>
  <c r="I7"/>
  <c r="G18"/>
  <c r="F8"/>
  <c r="P18"/>
  <c r="F17"/>
  <c r="K21"/>
  <c r="G19"/>
  <c r="G17"/>
  <c r="H8"/>
  <c r="H21"/>
  <c r="H19"/>
  <c r="F18"/>
  <c r="K8"/>
  <c r="K19"/>
  <c r="L19"/>
  <c r="L18"/>
  <c r="F21"/>
  <c r="P19"/>
  <c r="F19"/>
  <c r="H18"/>
  <c r="P17"/>
  <c r="KM33" i="17"/>
  <c r="KP33" s="1"/>
  <c r="KP66"/>
  <c r="HX66"/>
  <c r="HU33"/>
  <c r="HX33" s="1"/>
  <c r="GV66"/>
  <c r="GS33"/>
  <c r="GV33" s="1"/>
  <c r="FT66"/>
  <c r="FQ33"/>
  <c r="FT33" s="1"/>
  <c r="L379" i="6"/>
  <c r="DP66" i="17"/>
  <c r="DM33"/>
  <c r="DP33" s="1"/>
  <c r="GH66"/>
  <c r="GE33"/>
  <c r="GH33" s="1"/>
  <c r="MT66"/>
  <c r="MQ33"/>
  <c r="MT33" s="1"/>
  <c r="L897" i="6"/>
  <c r="LD66" i="17"/>
  <c r="LA33"/>
  <c r="LD33" s="1"/>
  <c r="L679" i="6"/>
  <c r="HJ66" i="17"/>
  <c r="HG33"/>
  <c r="HJ33" s="1"/>
  <c r="E33"/>
  <c r="H33" s="1"/>
  <c r="H66"/>
  <c r="FC33"/>
  <c r="FF33" s="1"/>
  <c r="FF66"/>
  <c r="C7" i="16"/>
  <c r="W7" s="1"/>
  <c r="L759" i="6"/>
  <c r="IZ66" i="17"/>
  <c r="JN66" s="1"/>
  <c r="IW33"/>
  <c r="MC33"/>
  <c r="MF33" s="1"/>
  <c r="MF66"/>
  <c r="L144" i="6"/>
  <c r="AU33" i="17"/>
  <c r="AX33" s="1"/>
  <c r="AX66"/>
  <c r="L838" i="6"/>
  <c r="JY33" i="17"/>
  <c r="KB33" s="1"/>
  <c r="KB66"/>
  <c r="L430" i="6"/>
  <c r="ED66" i="17"/>
  <c r="EA33"/>
  <c r="ED33" s="1"/>
  <c r="NH66"/>
  <c r="NE33"/>
  <c r="NH33" s="1"/>
  <c r="L464" i="6"/>
  <c r="ER66" i="17"/>
  <c r="EO33"/>
  <c r="ER33" s="1"/>
  <c r="BZ66"/>
  <c r="BW33"/>
  <c r="BZ33" s="1"/>
  <c r="L919" i="6"/>
  <c r="LO33" i="17"/>
  <c r="LR33" s="1"/>
  <c r="LR66"/>
  <c r="CK33"/>
  <c r="CN33" s="1"/>
  <c r="CN66"/>
  <c r="AC871" i="6"/>
  <c r="AC679"/>
  <c r="AC379"/>
  <c r="AC1038"/>
  <c r="AC725"/>
  <c r="AC238"/>
  <c r="N12" i="16" s="1"/>
  <c r="AC103" i="6"/>
  <c r="AC953"/>
  <c r="AC317"/>
  <c r="AC1218"/>
  <c r="N38" i="16" s="1"/>
  <c r="AC144" i="6"/>
  <c r="AC654"/>
  <c r="AC618"/>
  <c r="AC430"/>
  <c r="N16" i="16" s="1"/>
  <c r="AC582" i="6"/>
  <c r="AC1095"/>
  <c r="AB993"/>
  <c r="X477"/>
  <c r="X492"/>
  <c r="AC1233"/>
  <c r="N39" i="16" s="1"/>
  <c r="AC838" i="6"/>
  <c r="N25" i="16" s="1"/>
  <c r="AC1263" i="6"/>
  <c r="N41" i="16" s="1"/>
  <c r="AC919" i="6"/>
  <c r="AC1145"/>
  <c r="X1100"/>
  <c r="X371"/>
  <c r="AC1169"/>
  <c r="N35" i="16" s="1"/>
  <c r="AC1119" i="6"/>
  <c r="X472"/>
  <c r="AC504"/>
  <c r="N18" i="16" s="1"/>
  <c r="AC1246" i="6"/>
  <c r="N40" i="16" s="1"/>
  <c r="AC897" i="6"/>
  <c r="AC993"/>
  <c r="AC464"/>
  <c r="N17" i="16" s="1"/>
  <c r="X489" i="6"/>
  <c r="AC1204"/>
  <c r="N37" i="16" s="1"/>
  <c r="AC759" i="6"/>
  <c r="N7" i="16" s="1"/>
  <c r="X467" i="6"/>
  <c r="AB2"/>
  <c r="AC2"/>
  <c r="X1097"/>
  <c r="M838"/>
  <c r="JY32" i="17" s="1"/>
  <c r="KB32" s="1"/>
  <c r="X471" i="6"/>
  <c r="X1193"/>
  <c r="X453"/>
  <c r="X594"/>
  <c r="M897"/>
  <c r="LA32" i="17" s="1"/>
  <c r="LD32" s="1"/>
  <c r="X494" i="6"/>
  <c r="X739"/>
  <c r="X480"/>
  <c r="M2"/>
  <c r="E32" i="17" s="1"/>
  <c r="H32" s="1"/>
  <c r="X1222" i="6"/>
  <c r="X906"/>
  <c r="M144"/>
  <c r="AU32" i="17" s="1"/>
  <c r="AX32" s="1"/>
  <c r="R187" i="6"/>
  <c r="X187" s="1"/>
  <c r="M103"/>
  <c r="M871"/>
  <c r="KM32" i="17" s="1"/>
  <c r="KP32" s="1"/>
  <c r="AB874" i="6"/>
  <c r="AB871" s="1"/>
  <c r="R560"/>
  <c r="X560" s="1"/>
  <c r="AB560"/>
  <c r="M238"/>
  <c r="BW32" i="17" s="1"/>
  <c r="BZ32" s="1"/>
  <c r="AB239" i="6"/>
  <c r="AB238" s="1"/>
  <c r="M953"/>
  <c r="MC32" i="17" s="1"/>
  <c r="MF32" s="1"/>
  <c r="AB954" i="6"/>
  <c r="AB953" s="1"/>
  <c r="M679"/>
  <c r="HG32" i="17" s="1"/>
  <c r="HJ32" s="1"/>
  <c r="AB680" i="6"/>
  <c r="AB679" s="1"/>
  <c r="R556"/>
  <c r="X556" s="1"/>
  <c r="AB556"/>
  <c r="R122"/>
  <c r="AB122"/>
  <c r="AB103" s="1"/>
  <c r="R167"/>
  <c r="AB167"/>
  <c r="AB144" s="1"/>
  <c r="R531"/>
  <c r="AB531"/>
  <c r="R505"/>
  <c r="X505" s="1"/>
  <c r="AB505"/>
  <c r="R204"/>
  <c r="AB204"/>
  <c r="M919"/>
  <c r="LO32" i="17" s="1"/>
  <c r="LR32" s="1"/>
  <c r="AB920" i="6"/>
  <c r="AB919" s="1"/>
  <c r="M654"/>
  <c r="GS32" i="17" s="1"/>
  <c r="GV32" s="1"/>
  <c r="AB655" i="6"/>
  <c r="AB654" s="1"/>
  <c r="R524"/>
  <c r="X524" s="1"/>
  <c r="AB524"/>
  <c r="R202"/>
  <c r="AB202"/>
  <c r="AB185" s="1"/>
  <c r="R466"/>
  <c r="AB466"/>
  <c r="AB464" s="1"/>
  <c r="R555"/>
  <c r="X555" s="1"/>
  <c r="AB555"/>
  <c r="M379"/>
  <c r="DM32" i="17" s="1"/>
  <c r="DP32" s="1"/>
  <c r="AB380" i="6"/>
  <c r="AB379" s="1"/>
  <c r="M1218"/>
  <c r="AB1219"/>
  <c r="AB1218" s="1"/>
  <c r="R515"/>
  <c r="X515" s="1"/>
  <c r="AB515"/>
  <c r="M759"/>
  <c r="IW32" i="17" s="1"/>
  <c r="AB760" i="6"/>
  <c r="AB759" s="1"/>
  <c r="M7" i="16" s="1"/>
  <c r="R584" i="6"/>
  <c r="AB584"/>
  <c r="AB582" s="1"/>
  <c r="M618"/>
  <c r="GE32" i="17" s="1"/>
  <c r="GH32" s="1"/>
  <c r="AB619" i="6"/>
  <c r="AB618" s="1"/>
  <c r="R545"/>
  <c r="AB545"/>
  <c r="R526"/>
  <c r="X526" s="1"/>
  <c r="AB526"/>
  <c r="M317"/>
  <c r="CK32" i="17" s="1"/>
  <c r="CN32" s="1"/>
  <c r="AB318" i="6"/>
  <c r="AB317" s="1"/>
  <c r="M1119"/>
  <c r="AB1120"/>
  <c r="AB1119" s="1"/>
  <c r="M725"/>
  <c r="HU32" i="17" s="1"/>
  <c r="HX32" s="1"/>
  <c r="AB726" i="6"/>
  <c r="AB725" s="1"/>
  <c r="R535"/>
  <c r="X535" s="1"/>
  <c r="AB535"/>
  <c r="R513"/>
  <c r="AB513"/>
  <c r="N20" i="16"/>
  <c r="M185" i="6"/>
  <c r="BI32" i="17" s="1"/>
  <c r="BL32" s="1"/>
  <c r="M1186" i="6"/>
  <c r="AB1186" s="1"/>
  <c r="AB1185" s="1"/>
  <c r="M36" i="16" s="1"/>
  <c r="H1185" i="6"/>
  <c r="H185"/>
  <c r="L185" s="1"/>
  <c r="M359"/>
  <c r="R359" s="1"/>
  <c r="H358"/>
  <c r="N19" i="16"/>
  <c r="N13"/>
  <c r="N6"/>
  <c r="N24" s="1"/>
  <c r="X204" i="6"/>
  <c r="C88"/>
  <c r="X87"/>
  <c r="N26" i="16"/>
  <c r="N21"/>
  <c r="N15"/>
  <c r="M1095" i="6"/>
  <c r="R1096"/>
  <c r="R1095" s="1"/>
  <c r="N32" i="16"/>
  <c r="N28"/>
  <c r="N31"/>
  <c r="N33"/>
  <c r="N4"/>
  <c r="N27"/>
  <c r="N30"/>
  <c r="N10"/>
  <c r="N22"/>
  <c r="N29"/>
  <c r="N5"/>
  <c r="R538" i="6"/>
  <c r="R518"/>
  <c r="R532"/>
  <c r="R511"/>
  <c r="R557"/>
  <c r="R547"/>
  <c r="R529"/>
  <c r="R564"/>
  <c r="R542"/>
  <c r="R559"/>
  <c r="N23" i="16"/>
  <c r="O759" i="6"/>
  <c r="IV17" i="17" s="1"/>
  <c r="N759" i="6"/>
  <c r="IV16" i="17" s="1"/>
  <c r="P759" i="6"/>
  <c r="N34" i="16"/>
  <c r="AB758" i="6"/>
  <c r="AB757" s="1"/>
  <c r="M504"/>
  <c r="FC32" i="17" s="1"/>
  <c r="FF32" s="1"/>
  <c r="O1263" i="6"/>
  <c r="P1263"/>
  <c r="N1263"/>
  <c r="C39" i="16"/>
  <c r="C130" s="1"/>
  <c r="L1233" i="6"/>
  <c r="C38" i="16"/>
  <c r="C129" s="1"/>
  <c r="L1218" i="6"/>
  <c r="C37" i="16"/>
  <c r="C128" s="1"/>
  <c r="L1204" i="6"/>
  <c r="C35" i="16"/>
  <c r="C126" s="1"/>
  <c r="L1169" i="6"/>
  <c r="C32" i="16"/>
  <c r="L1095" i="6"/>
  <c r="C31" i="16"/>
  <c r="L1038" i="6"/>
  <c r="AC362"/>
  <c r="L362"/>
  <c r="C33" i="16"/>
  <c r="L1119" i="6"/>
  <c r="AC1191"/>
  <c r="L1191"/>
  <c r="AC195"/>
  <c r="AC185" s="1"/>
  <c r="N11" i="16" s="1"/>
  <c r="L195" i="6"/>
  <c r="L1186"/>
  <c r="L359"/>
  <c r="C41" i="16"/>
  <c r="L1263" i="6"/>
  <c r="C40" i="16"/>
  <c r="C131" s="1"/>
  <c r="L1246" i="6"/>
  <c r="C34" i="16"/>
  <c r="C125" s="1"/>
  <c r="L1145" i="6"/>
  <c r="AC363"/>
  <c r="L363"/>
  <c r="R105"/>
  <c r="X105" s="1"/>
  <c r="M35" i="16"/>
  <c r="R924" i="6"/>
  <c r="C4" i="16"/>
  <c r="C27"/>
  <c r="C26"/>
  <c r="C117" s="1"/>
  <c r="C25"/>
  <c r="C6"/>
  <c r="C23"/>
  <c r="C22"/>
  <c r="C113" s="1"/>
  <c r="C21"/>
  <c r="C20"/>
  <c r="C111" s="1"/>
  <c r="C16"/>
  <c r="C12"/>
  <c r="C103" s="1"/>
  <c r="C30"/>
  <c r="C29"/>
  <c r="C120" s="1"/>
  <c r="C28"/>
  <c r="C19"/>
  <c r="C110" s="1"/>
  <c r="C18"/>
  <c r="C109" s="1"/>
  <c r="C17"/>
  <c r="C108" s="1"/>
  <c r="C15"/>
  <c r="C13"/>
  <c r="C104" s="1"/>
  <c r="C10"/>
  <c r="C101" s="1"/>
  <c r="C5"/>
  <c r="W5" s="1"/>
  <c r="S33" i="17"/>
  <c r="V66"/>
  <c r="P15" i="5"/>
  <c r="K17"/>
  <c r="H15"/>
  <c r="G15"/>
  <c r="L17"/>
  <c r="H6"/>
  <c r="F6"/>
  <c r="L11"/>
  <c r="K12"/>
  <c r="P6"/>
  <c r="F11"/>
  <c r="I12"/>
  <c r="H12"/>
  <c r="G6"/>
  <c r="H17"/>
  <c r="G12"/>
  <c r="F12"/>
  <c r="I9"/>
  <c r="H9"/>
  <c r="K9"/>
  <c r="F9"/>
  <c r="K139" i="16"/>
  <c r="W35"/>
  <c r="R343" i="6"/>
  <c r="R243"/>
  <c r="K20" i="5"/>
  <c r="F13"/>
  <c r="L20"/>
  <c r="G20"/>
  <c r="G13"/>
  <c r="J13"/>
  <c r="D22"/>
  <c r="R47" i="6"/>
  <c r="M37" i="16"/>
  <c r="R22" i="6"/>
  <c r="R703"/>
  <c r="R62"/>
  <c r="R633"/>
  <c r="R778"/>
  <c r="R258"/>
  <c r="R998"/>
  <c r="R785"/>
  <c r="R702"/>
  <c r="R1148"/>
  <c r="R940"/>
  <c r="R842"/>
  <c r="R735"/>
  <c r="R46"/>
  <c r="R817"/>
  <c r="R734"/>
  <c r="R694"/>
  <c r="R1058"/>
  <c r="R968"/>
  <c r="R932"/>
  <c r="R903"/>
  <c r="R786"/>
  <c r="R770"/>
  <c r="R727"/>
  <c r="R695"/>
  <c r="R242"/>
  <c r="R801"/>
  <c r="R769"/>
  <c r="R726"/>
  <c r="R63"/>
  <c r="R23"/>
  <c r="R931"/>
  <c r="R902"/>
  <c r="R1049"/>
  <c r="R997"/>
  <c r="R201"/>
  <c r="R55"/>
  <c r="R39"/>
  <c r="R15"/>
  <c r="R54"/>
  <c r="R30"/>
  <c r="R14"/>
  <c r="R409"/>
  <c r="R327"/>
  <c r="R634"/>
  <c r="R370"/>
  <c r="R336"/>
  <c r="R250"/>
  <c r="R196"/>
  <c r="R107"/>
  <c r="X107" s="1"/>
  <c r="R1013"/>
  <c r="R939"/>
  <c r="R923"/>
  <c r="R841"/>
  <c r="R809"/>
  <c r="M40" i="16"/>
  <c r="M4"/>
  <c r="R1147" i="6"/>
  <c r="R1073"/>
  <c r="R1065"/>
  <c r="R1005"/>
  <c r="R975"/>
  <c r="R967"/>
  <c r="R959"/>
  <c r="R880"/>
  <c r="R849"/>
  <c r="R793"/>
  <c r="R777"/>
  <c r="R761"/>
  <c r="R686"/>
  <c r="R665"/>
  <c r="R657"/>
  <c r="R625"/>
  <c r="R449"/>
  <c r="R441"/>
  <c r="R433"/>
  <c r="R403"/>
  <c r="R399"/>
  <c r="R383"/>
  <c r="R367"/>
  <c r="R360"/>
  <c r="R341"/>
  <c r="R333"/>
  <c r="R325"/>
  <c r="R1124"/>
  <c r="R1050"/>
  <c r="R1042"/>
  <c r="R1014"/>
  <c r="R976"/>
  <c r="R960"/>
  <c r="R818"/>
  <c r="R810"/>
  <c r="R802"/>
  <c r="R762"/>
  <c r="R632"/>
  <c r="R628"/>
  <c r="R450"/>
  <c r="R442"/>
  <c r="R434"/>
  <c r="R408"/>
  <c r="R400"/>
  <c r="R392"/>
  <c r="R368"/>
  <c r="R334"/>
  <c r="R265"/>
  <c r="R249"/>
  <c r="R241"/>
  <c r="R213"/>
  <c r="R194"/>
  <c r="R264"/>
  <c r="R248"/>
  <c r="R159"/>
  <c r="X159" s="1"/>
  <c r="R121"/>
  <c r="X121" s="1"/>
  <c r="R113"/>
  <c r="X113" s="1"/>
  <c r="R1153"/>
  <c r="R1079"/>
  <c r="R1063"/>
  <c r="R1055"/>
  <c r="R1051"/>
  <c r="R1003"/>
  <c r="R999"/>
  <c r="R995"/>
  <c r="R973"/>
  <c r="R965"/>
  <c r="R957"/>
  <c r="R929"/>
  <c r="R882"/>
  <c r="R878"/>
  <c r="R847"/>
  <c r="R819"/>
  <c r="R791"/>
  <c r="R787"/>
  <c r="R783"/>
  <c r="R775"/>
  <c r="R767"/>
  <c r="R736"/>
  <c r="R732"/>
  <c r="R700"/>
  <c r="R692"/>
  <c r="R688"/>
  <c r="R663"/>
  <c r="R631"/>
  <c r="R627"/>
  <c r="R401"/>
  <c r="R393"/>
  <c r="R385"/>
  <c r="R335"/>
  <c r="R319"/>
  <c r="R1220"/>
  <c r="M38" i="16"/>
  <c r="R1122" i="6"/>
  <c r="R1072"/>
  <c r="R1064"/>
  <c r="R1056"/>
  <c r="R1052"/>
  <c r="R1048"/>
  <c r="R1012"/>
  <c r="R1004"/>
  <c r="R1000"/>
  <c r="R996"/>
  <c r="R974"/>
  <c r="R966"/>
  <c r="R938"/>
  <c r="R922"/>
  <c r="R901"/>
  <c r="M27" i="16"/>
  <c r="R879" i="6"/>
  <c r="R848"/>
  <c r="R820"/>
  <c r="R816"/>
  <c r="R800"/>
  <c r="R788"/>
  <c r="R737"/>
  <c r="R689"/>
  <c r="R626"/>
  <c r="R267"/>
  <c r="R259"/>
  <c r="R251"/>
  <c r="R215"/>
  <c r="R206"/>
  <c r="R197"/>
  <c r="R188"/>
  <c r="R205"/>
  <c r="R191"/>
  <c r="R157"/>
  <c r="X157" s="1"/>
  <c r="R153"/>
  <c r="X153" s="1"/>
  <c r="R119"/>
  <c r="X119" s="1"/>
  <c r="R1192"/>
  <c r="R1221"/>
  <c r="R1155"/>
  <c r="R1123"/>
  <c r="R1057"/>
  <c r="R66"/>
  <c r="M41" i="16"/>
  <c r="M993" i="6"/>
  <c r="MQ32" i="17" s="1"/>
  <c r="MT32" s="1"/>
  <c r="R145" i="6"/>
  <c r="S32" i="17"/>
  <c r="R872" i="6"/>
  <c r="R1146"/>
  <c r="R954"/>
  <c r="R1041"/>
  <c r="AC1186"/>
  <c r="AC359"/>
  <c r="R61"/>
  <c r="R29"/>
  <c r="R958"/>
  <c r="I18" i="5"/>
  <c r="I17"/>
  <c r="J6"/>
  <c r="I13"/>
  <c r="L6"/>
  <c r="I11"/>
  <c r="M18"/>
  <c r="H10"/>
  <c r="M10"/>
  <c r="M21"/>
  <c r="M13"/>
  <c r="G21"/>
  <c r="K18"/>
  <c r="K13"/>
  <c r="P21"/>
  <c r="R31" i="6"/>
  <c r="R7"/>
  <c r="R38"/>
  <c r="R6"/>
  <c r="R386"/>
  <c r="R328"/>
  <c r="R266"/>
  <c r="R214"/>
  <c r="R161"/>
  <c r="X161" s="1"/>
  <c r="R115"/>
  <c r="M16" i="5"/>
  <c r="P8"/>
  <c r="M8"/>
  <c r="M19"/>
  <c r="M11"/>
  <c r="G10"/>
  <c r="M14"/>
  <c r="K6"/>
  <c r="M6"/>
  <c r="M17"/>
  <c r="G9"/>
  <c r="M9"/>
  <c r="M20"/>
  <c r="M12"/>
  <c r="M15"/>
  <c r="P7"/>
  <c r="M7"/>
  <c r="F10"/>
  <c r="K10"/>
  <c r="I20"/>
  <c r="I15"/>
  <c r="J12"/>
  <c r="J14"/>
  <c r="J9"/>
  <c r="I21"/>
  <c r="L14"/>
  <c r="L12"/>
  <c r="L9"/>
  <c r="L8"/>
  <c r="I16"/>
  <c r="I19"/>
  <c r="R45" i="6"/>
  <c r="R13"/>
  <c r="R930"/>
  <c r="J8" i="5"/>
  <c r="L7"/>
  <c r="J7"/>
  <c r="R239" i="6"/>
  <c r="R1054"/>
  <c r="R53"/>
  <c r="R37"/>
  <c r="R21"/>
  <c r="R1061"/>
  <c r="R765"/>
  <c r="R11"/>
  <c r="R1053"/>
  <c r="R1062"/>
  <c r="R151"/>
  <c r="R768"/>
  <c r="R186"/>
  <c r="R760"/>
  <c r="R1047"/>
  <c r="R840"/>
  <c r="R808"/>
  <c r="R114"/>
  <c r="R855"/>
  <c r="R758"/>
  <c r="R757" s="1"/>
  <c r="R708"/>
  <c r="R1040"/>
  <c r="R664"/>
  <c r="R815"/>
  <c r="R407"/>
  <c r="R391"/>
  <c r="R1154"/>
  <c r="R693"/>
  <c r="R1189"/>
  <c r="R212"/>
  <c r="R937"/>
  <c r="R921"/>
  <c r="R784"/>
  <c r="R320"/>
  <c r="R257"/>
  <c r="R152"/>
  <c r="R1219"/>
  <c r="R1011"/>
  <c r="R839"/>
  <c r="R799"/>
  <c r="R776"/>
  <c r="R733"/>
  <c r="R701"/>
  <c r="R685"/>
  <c r="R384"/>
  <c r="R342"/>
  <c r="R326"/>
  <c r="R256"/>
  <c r="R240"/>
  <c r="R900"/>
  <c r="R684"/>
  <c r="R655"/>
  <c r="R623"/>
  <c r="R792"/>
  <c r="R656"/>
  <c r="R624"/>
  <c r="R160"/>
  <c r="R106"/>
  <c r="R798"/>
  <c r="R1121"/>
  <c r="R1071"/>
  <c r="R1039"/>
  <c r="R807"/>
  <c r="R766"/>
  <c r="R193"/>
  <c r="R5"/>
  <c r="R52"/>
  <c r="R36"/>
  <c r="R20"/>
  <c r="R4"/>
  <c r="R60"/>
  <c r="R44"/>
  <c r="R28"/>
  <c r="R12"/>
  <c r="R955"/>
  <c r="R690"/>
  <c r="R1128"/>
  <c r="R19"/>
  <c r="R1127"/>
  <c r="R845"/>
  <c r="R821"/>
  <c r="R738"/>
  <c r="R365"/>
  <c r="R1120"/>
  <c r="R920"/>
  <c r="R846"/>
  <c r="R51"/>
  <c r="R963"/>
  <c r="R898"/>
  <c r="R797"/>
  <c r="R789"/>
  <c r="R698"/>
  <c r="R431"/>
  <c r="R405"/>
  <c r="R1010"/>
  <c r="R964"/>
  <c r="R956"/>
  <c r="R790"/>
  <c r="R691"/>
  <c r="R43"/>
  <c r="R1009"/>
  <c r="R1001"/>
  <c r="R637"/>
  <c r="R629"/>
  <c r="R381"/>
  <c r="R323"/>
  <c r="R1002"/>
  <c r="R899"/>
  <c r="R699"/>
  <c r="R630"/>
  <c r="R451"/>
  <c r="R443"/>
  <c r="R435"/>
  <c r="R369"/>
  <c r="R1074"/>
  <c r="R1066"/>
  <c r="R1006"/>
  <c r="R881"/>
  <c r="R873"/>
  <c r="R850"/>
  <c r="R794"/>
  <c r="R687"/>
  <c r="R658"/>
  <c r="R452"/>
  <c r="R444"/>
  <c r="R436"/>
  <c r="R410"/>
  <c r="R402"/>
  <c r="R394"/>
  <c r="R162"/>
  <c r="R154"/>
  <c r="R146"/>
  <c r="R116"/>
  <c r="R108"/>
  <c r="R1191"/>
  <c r="R361"/>
  <c r="R1188"/>
  <c r="R8"/>
  <c r="R388"/>
  <c r="R268"/>
  <c r="R164"/>
  <c r="R1149"/>
  <c r="R1125"/>
  <c r="R1067"/>
  <c r="R1059"/>
  <c r="R1015"/>
  <c r="R1007"/>
  <c r="R969"/>
  <c r="R961"/>
  <c r="R925"/>
  <c r="R904"/>
  <c r="R851"/>
  <c r="R843"/>
  <c r="R803"/>
  <c r="R795"/>
  <c r="R771"/>
  <c r="R763"/>
  <c r="R704"/>
  <c r="R696"/>
  <c r="R659"/>
  <c r="R635"/>
  <c r="R437"/>
  <c r="R411"/>
  <c r="R387"/>
  <c r="R329"/>
  <c r="R321"/>
  <c r="R1150"/>
  <c r="R1126"/>
  <c r="R1068"/>
  <c r="R1060"/>
  <c r="R1016"/>
  <c r="R1008"/>
  <c r="R970"/>
  <c r="R962"/>
  <c r="R926"/>
  <c r="R905"/>
  <c r="R852"/>
  <c r="R844"/>
  <c r="R804"/>
  <c r="R796"/>
  <c r="R772"/>
  <c r="R764"/>
  <c r="R705"/>
  <c r="R697"/>
  <c r="R660"/>
  <c r="R636"/>
  <c r="R446"/>
  <c r="R396"/>
  <c r="R380"/>
  <c r="R338"/>
  <c r="R322"/>
  <c r="R253"/>
  <c r="R209"/>
  <c r="R190"/>
  <c r="R156"/>
  <c r="R118"/>
  <c r="R65"/>
  <c r="R57"/>
  <c r="R49"/>
  <c r="R41"/>
  <c r="R33"/>
  <c r="R25"/>
  <c r="R17"/>
  <c r="R9"/>
  <c r="R260"/>
  <c r="R244"/>
  <c r="R207"/>
  <c r="R189"/>
  <c r="R163"/>
  <c r="R155"/>
  <c r="R147"/>
  <c r="R117"/>
  <c r="R109"/>
  <c r="R64"/>
  <c r="R56"/>
  <c r="R48"/>
  <c r="R32"/>
  <c r="R24"/>
  <c r="R16"/>
  <c r="R1190"/>
  <c r="R216"/>
  <c r="R40"/>
  <c r="R404"/>
  <c r="R199"/>
  <c r="R438"/>
  <c r="R330"/>
  <c r="R245"/>
  <c r="R110"/>
  <c r="R198"/>
  <c r="R1170"/>
  <c r="R1169" s="1"/>
  <c r="R1075"/>
  <c r="R1043"/>
  <c r="R977"/>
  <c r="R933"/>
  <c r="R874"/>
  <c r="R811"/>
  <c r="R779"/>
  <c r="R728"/>
  <c r="R680"/>
  <c r="R619"/>
  <c r="R445"/>
  <c r="R395"/>
  <c r="R337"/>
  <c r="R1076"/>
  <c r="R1044"/>
  <c r="R978"/>
  <c r="R934"/>
  <c r="R875"/>
  <c r="R812"/>
  <c r="R780"/>
  <c r="R729"/>
  <c r="R681"/>
  <c r="R620"/>
  <c r="R364"/>
  <c r="R261"/>
  <c r="R148"/>
  <c r="R252"/>
  <c r="R448"/>
  <c r="R440"/>
  <c r="R432"/>
  <c r="R406"/>
  <c r="R398"/>
  <c r="R390"/>
  <c r="R382"/>
  <c r="R366"/>
  <c r="R340"/>
  <c r="R332"/>
  <c r="R324"/>
  <c r="R263"/>
  <c r="R255"/>
  <c r="R247"/>
  <c r="R192"/>
  <c r="R166"/>
  <c r="R158"/>
  <c r="R150"/>
  <c r="R120"/>
  <c r="R112"/>
  <c r="R104"/>
  <c r="R1187"/>
  <c r="R262"/>
  <c r="R254"/>
  <c r="R246"/>
  <c r="R210"/>
  <c r="R200"/>
  <c r="R58"/>
  <c r="R50"/>
  <c r="R42"/>
  <c r="R34"/>
  <c r="R26"/>
  <c r="R18"/>
  <c r="R10"/>
  <c r="R35"/>
  <c r="R3"/>
  <c r="R1205"/>
  <c r="R1204" s="1"/>
  <c r="R1077"/>
  <c r="R1045"/>
  <c r="R935"/>
  <c r="R876"/>
  <c r="R813"/>
  <c r="R781"/>
  <c r="R730"/>
  <c r="R682"/>
  <c r="R621"/>
  <c r="R447"/>
  <c r="R397"/>
  <c r="R339"/>
  <c r="R1078"/>
  <c r="R1046"/>
  <c r="R994"/>
  <c r="R936"/>
  <c r="R877"/>
  <c r="R814"/>
  <c r="R782"/>
  <c r="R731"/>
  <c r="R683"/>
  <c r="R622"/>
  <c r="R318"/>
  <c r="R211"/>
  <c r="R362"/>
  <c r="R165"/>
  <c r="R149"/>
  <c r="R111"/>
  <c r="R59"/>
  <c r="R27"/>
  <c r="R1151"/>
  <c r="R1069"/>
  <c r="R1017"/>
  <c r="R971"/>
  <c r="R927"/>
  <c r="R853"/>
  <c r="R805"/>
  <c r="R773"/>
  <c r="R706"/>
  <c r="R661"/>
  <c r="R439"/>
  <c r="R389"/>
  <c r="R331"/>
  <c r="R1152"/>
  <c r="R1070"/>
  <c r="R972"/>
  <c r="R928"/>
  <c r="R854"/>
  <c r="R806"/>
  <c r="R774"/>
  <c r="R707"/>
  <c r="R662"/>
  <c r="J21" i="5"/>
  <c r="J20"/>
  <c r="J19"/>
  <c r="J18"/>
  <c r="J17"/>
  <c r="J16"/>
  <c r="J15"/>
  <c r="L13"/>
  <c r="J11"/>
  <c r="E22"/>
  <c r="C24" i="16" l="1"/>
  <c r="NB71" i="17"/>
  <c r="NP13"/>
  <c r="NC13"/>
  <c r="NC71" s="1"/>
  <c r="NE32"/>
  <c r="NH32" s="1"/>
  <c r="IH19"/>
  <c r="II24" s="1"/>
  <c r="H22" i="5"/>
  <c r="AC1185" i="6"/>
  <c r="AC358"/>
  <c r="N14" i="16" s="1"/>
  <c r="IV20" i="17"/>
  <c r="DB66"/>
  <c r="CY33"/>
  <c r="DB33" s="1"/>
  <c r="H1275" i="6"/>
  <c r="BI33" i="17"/>
  <c r="BL33" s="1"/>
  <c r="BL66"/>
  <c r="IZ32"/>
  <c r="JK32"/>
  <c r="JN32" s="1"/>
  <c r="IZ33"/>
  <c r="JK33"/>
  <c r="JN33" s="1"/>
  <c r="L358" i="6"/>
  <c r="X202"/>
  <c r="W21" i="16"/>
  <c r="C112"/>
  <c r="W32"/>
  <c r="C123"/>
  <c r="W28"/>
  <c r="C119"/>
  <c r="W23"/>
  <c r="C114"/>
  <c r="W41"/>
  <c r="C132"/>
  <c r="W33"/>
  <c r="C124"/>
  <c r="W24"/>
  <c r="C115"/>
  <c r="W30"/>
  <c r="C121"/>
  <c r="W25"/>
  <c r="C116"/>
  <c r="W15"/>
  <c r="C106"/>
  <c r="W16"/>
  <c r="C107"/>
  <c r="W27"/>
  <c r="C118"/>
  <c r="W31"/>
  <c r="C122"/>
  <c r="AC1275" i="6"/>
  <c r="W38" i="16"/>
  <c r="AB504" i="6"/>
  <c r="R1186"/>
  <c r="W37" i="16"/>
  <c r="X545" i="6"/>
  <c r="W39" i="16"/>
  <c r="M1185" i="6"/>
  <c r="W40" i="16"/>
  <c r="R317" i="6"/>
  <c r="CJ19" i="17" s="1"/>
  <c r="R1218" i="6"/>
  <c r="N36" i="16"/>
  <c r="X531" i="6"/>
  <c r="X513"/>
  <c r="R618"/>
  <c r="GD19" i="17" s="1"/>
  <c r="R464" i="6"/>
  <c r="EN19" i="17" s="1"/>
  <c r="X466" i="6"/>
  <c r="X464" s="1"/>
  <c r="ER24" i="17" s="1"/>
  <c r="X167" i="6"/>
  <c r="R504"/>
  <c r="FB19" i="17" s="1"/>
  <c r="X122" i="6"/>
  <c r="M358"/>
  <c r="CY32" i="17" s="1"/>
  <c r="DB32" s="1"/>
  <c r="AB359" i="6"/>
  <c r="R582"/>
  <c r="FP19" i="17" s="1"/>
  <c r="X584" i="6"/>
  <c r="X582" s="1"/>
  <c r="FT24" i="17" s="1"/>
  <c r="R679" i="6"/>
  <c r="HF19" i="17" s="1"/>
  <c r="R2" i="6"/>
  <c r="R1145"/>
  <c r="R725"/>
  <c r="HT19" i="17" s="1"/>
  <c r="R897" i="6"/>
  <c r="KZ19" i="17" s="1"/>
  <c r="R103" i="6"/>
  <c r="R238"/>
  <c r="BV19" i="17" s="1"/>
  <c r="R871" i="6"/>
  <c r="KL19" i="17" s="1"/>
  <c r="R993" i="6"/>
  <c r="MP19" i="17" s="1"/>
  <c r="R430" i="6"/>
  <c r="DZ19" i="17" s="1"/>
  <c r="R1038" i="6"/>
  <c r="ND19" i="17" s="1"/>
  <c r="R379" i="6"/>
  <c r="DL19" i="17" s="1"/>
  <c r="R919" i="6"/>
  <c r="LN19" i="17" s="1"/>
  <c r="R838" i="6"/>
  <c r="JX19" i="17" s="1"/>
  <c r="R1119" i="6"/>
  <c r="R759"/>
  <c r="IV19" i="17" s="1"/>
  <c r="R1185" i="6"/>
  <c r="R654"/>
  <c r="GR19" i="17" s="1"/>
  <c r="R953" i="6"/>
  <c r="MB19" i="17" s="1"/>
  <c r="X145" i="6"/>
  <c r="R144"/>
  <c r="AT19" i="17" s="1"/>
  <c r="W34" i="16"/>
  <c r="X1070" i="6"/>
  <c r="X10"/>
  <c r="X337"/>
  <c r="X396"/>
  <c r="X1066"/>
  <c r="X1039"/>
  <c r="X662"/>
  <c r="X731"/>
  <c r="X246"/>
  <c r="X780"/>
  <c r="X16"/>
  <c r="X446"/>
  <c r="X795"/>
  <c r="X899"/>
  <c r="X1011"/>
  <c r="X707"/>
  <c r="X331"/>
  <c r="X927"/>
  <c r="X782"/>
  <c r="X397"/>
  <c r="X935"/>
  <c r="X26"/>
  <c r="X254"/>
  <c r="X366"/>
  <c r="X252"/>
  <c r="X812"/>
  <c r="X445"/>
  <c r="X977"/>
  <c r="X438"/>
  <c r="X24"/>
  <c r="X25"/>
  <c r="X190"/>
  <c r="X636"/>
  <c r="X844"/>
  <c r="X1060"/>
  <c r="X437"/>
  <c r="X803"/>
  <c r="X1015"/>
  <c r="X8"/>
  <c r="X687"/>
  <c r="X369"/>
  <c r="X1002"/>
  <c r="X691"/>
  <c r="X789"/>
  <c r="X365"/>
  <c r="X955"/>
  <c r="X52"/>
  <c r="X1121"/>
  <c r="X655"/>
  <c r="X384"/>
  <c r="X1219"/>
  <c r="X1189"/>
  <c r="X708"/>
  <c r="X186"/>
  <c r="X21"/>
  <c r="X930"/>
  <c r="X6"/>
  <c r="X816"/>
  <c r="X966"/>
  <c r="X1004"/>
  <c r="X1056"/>
  <c r="X1122"/>
  <c r="X385"/>
  <c r="X688"/>
  <c r="X736"/>
  <c r="X787"/>
  <c r="X878"/>
  <c r="X194"/>
  <c r="X265"/>
  <c r="X400"/>
  <c r="X450"/>
  <c r="X628"/>
  <c r="X810"/>
  <c r="X1014"/>
  <c r="X325"/>
  <c r="X367"/>
  <c r="X433"/>
  <c r="X841"/>
  <c r="X336"/>
  <c r="X15"/>
  <c r="X23"/>
  <c r="X770"/>
  <c r="X817"/>
  <c r="X785"/>
  <c r="X529"/>
  <c r="X532"/>
  <c r="X805"/>
  <c r="X210"/>
  <c r="X245"/>
  <c r="X9"/>
  <c r="X387"/>
  <c r="X1009"/>
  <c r="X1128"/>
  <c r="X326"/>
  <c r="X937"/>
  <c r="X765"/>
  <c r="X1152"/>
  <c r="X339"/>
  <c r="X395"/>
  <c r="X804"/>
  <c r="X1007"/>
  <c r="X1074"/>
  <c r="X623"/>
  <c r="X774"/>
  <c r="X389"/>
  <c r="X971"/>
  <c r="X814"/>
  <c r="X447"/>
  <c r="X1045"/>
  <c r="X34"/>
  <c r="X262"/>
  <c r="X192"/>
  <c r="X382"/>
  <c r="X875"/>
  <c r="X619"/>
  <c r="X1043"/>
  <c r="X199"/>
  <c r="X32"/>
  <c r="X33"/>
  <c r="X209"/>
  <c r="X660"/>
  <c r="X852"/>
  <c r="X1068"/>
  <c r="X635"/>
  <c r="X843"/>
  <c r="X1059"/>
  <c r="X1188"/>
  <c r="X394"/>
  <c r="X794"/>
  <c r="X435"/>
  <c r="X323"/>
  <c r="X790"/>
  <c r="X797"/>
  <c r="X738"/>
  <c r="X12"/>
  <c r="X5"/>
  <c r="X798"/>
  <c r="X684"/>
  <c r="X685"/>
  <c r="X693"/>
  <c r="X768"/>
  <c r="X37"/>
  <c r="X13"/>
  <c r="X38"/>
  <c r="X954"/>
  <c r="X66"/>
  <c r="X205"/>
  <c r="X215"/>
  <c r="X965"/>
  <c r="X1003"/>
  <c r="X1079"/>
  <c r="X665"/>
  <c r="X793"/>
  <c r="X967"/>
  <c r="X1073"/>
  <c r="X923"/>
  <c r="X370"/>
  <c r="X39"/>
  <c r="X63"/>
  <c r="X786"/>
  <c r="X46"/>
  <c r="X998"/>
  <c r="X47"/>
  <c r="X559"/>
  <c r="X332"/>
  <c r="X1190"/>
  <c r="X1008"/>
  <c r="X452"/>
  <c r="X431"/>
  <c r="X20"/>
  <c r="X839"/>
  <c r="X328"/>
  <c r="X18"/>
  <c r="X448"/>
  <c r="X330"/>
  <c r="X411"/>
  <c r="X658"/>
  <c r="X1071"/>
  <c r="X806"/>
  <c r="X439"/>
  <c r="X1017"/>
  <c r="X362"/>
  <c r="X877"/>
  <c r="X621"/>
  <c r="X1077"/>
  <c r="X42"/>
  <c r="X1187"/>
  <c r="X247"/>
  <c r="X390"/>
  <c r="X261"/>
  <c r="X934"/>
  <c r="X680"/>
  <c r="X1075"/>
  <c r="X404"/>
  <c r="X48"/>
  <c r="X189"/>
  <c r="X41"/>
  <c r="X253"/>
  <c r="X697"/>
  <c r="X905"/>
  <c r="X1126"/>
  <c r="X659"/>
  <c r="X851"/>
  <c r="X1067"/>
  <c r="X361"/>
  <c r="X402"/>
  <c r="X850"/>
  <c r="X443"/>
  <c r="X381"/>
  <c r="X956"/>
  <c r="X898"/>
  <c r="X821"/>
  <c r="X28"/>
  <c r="X900"/>
  <c r="X701"/>
  <c r="X257"/>
  <c r="X1154"/>
  <c r="X855"/>
  <c r="X53"/>
  <c r="X45"/>
  <c r="X7"/>
  <c r="X1146"/>
  <c r="X1057"/>
  <c r="X737"/>
  <c r="X820"/>
  <c r="X901"/>
  <c r="X974"/>
  <c r="X1012"/>
  <c r="X1064"/>
  <c r="X1220"/>
  <c r="X393"/>
  <c r="X627"/>
  <c r="X692"/>
  <c r="X767"/>
  <c r="X791"/>
  <c r="X882"/>
  <c r="X213"/>
  <c r="X334"/>
  <c r="X408"/>
  <c r="X632"/>
  <c r="X818"/>
  <c r="X1042"/>
  <c r="X333"/>
  <c r="X383"/>
  <c r="X441"/>
  <c r="X939"/>
  <c r="X634"/>
  <c r="X55"/>
  <c r="X726"/>
  <c r="X903"/>
  <c r="X258"/>
  <c r="X243"/>
  <c r="X924"/>
  <c r="X547"/>
  <c r="X518"/>
  <c r="X813"/>
  <c r="X729"/>
  <c r="X854"/>
  <c r="X1069"/>
  <c r="X936"/>
  <c r="X1205"/>
  <c r="X1204" s="1"/>
  <c r="X398"/>
  <c r="X978"/>
  <c r="X1170"/>
  <c r="X1169" s="1"/>
  <c r="X56"/>
  <c r="X49"/>
  <c r="X705"/>
  <c r="X926"/>
  <c r="X1150"/>
  <c r="X904"/>
  <c r="X1125"/>
  <c r="X1191"/>
  <c r="X410"/>
  <c r="X873"/>
  <c r="X451"/>
  <c r="X629"/>
  <c r="X964"/>
  <c r="X963"/>
  <c r="X845"/>
  <c r="X44"/>
  <c r="X193"/>
  <c r="X240"/>
  <c r="X733"/>
  <c r="X320"/>
  <c r="X391"/>
  <c r="X1062"/>
  <c r="X1054"/>
  <c r="X31"/>
  <c r="X958"/>
  <c r="X1041"/>
  <c r="X1123"/>
  <c r="X188"/>
  <c r="X251"/>
  <c r="X973"/>
  <c r="X1051"/>
  <c r="X686"/>
  <c r="X849"/>
  <c r="X975"/>
  <c r="X1147"/>
  <c r="X1013"/>
  <c r="X327"/>
  <c r="X201"/>
  <c r="X769"/>
  <c r="X932"/>
  <c r="X735"/>
  <c r="X778"/>
  <c r="X343"/>
  <c r="X88"/>
  <c r="C89"/>
  <c r="X440"/>
  <c r="X771"/>
  <c r="X661"/>
  <c r="X211"/>
  <c r="X682"/>
  <c r="X50"/>
  <c r="X255"/>
  <c r="X364"/>
  <c r="X728"/>
  <c r="X40"/>
  <c r="X207"/>
  <c r="X322"/>
  <c r="X696"/>
  <c r="X928"/>
  <c r="X706"/>
  <c r="X1151"/>
  <c r="X318"/>
  <c r="X994"/>
  <c r="X730"/>
  <c r="X3"/>
  <c r="X58"/>
  <c r="X263"/>
  <c r="X406"/>
  <c r="X620"/>
  <c r="X1044"/>
  <c r="X779"/>
  <c r="X198"/>
  <c r="X216"/>
  <c r="X64"/>
  <c r="X244"/>
  <c r="X57"/>
  <c r="X338"/>
  <c r="X764"/>
  <c r="X962"/>
  <c r="X321"/>
  <c r="X704"/>
  <c r="X925"/>
  <c r="X1149"/>
  <c r="X436"/>
  <c r="X881"/>
  <c r="X637"/>
  <c r="X1010"/>
  <c r="X51"/>
  <c r="X1127"/>
  <c r="X60"/>
  <c r="X766"/>
  <c r="X624"/>
  <c r="X256"/>
  <c r="X776"/>
  <c r="X784"/>
  <c r="X407"/>
  <c r="X808"/>
  <c r="X1053"/>
  <c r="X239"/>
  <c r="X214"/>
  <c r="X29"/>
  <c r="X1155"/>
  <c r="X788"/>
  <c r="X848"/>
  <c r="X922"/>
  <c r="X996"/>
  <c r="X1048"/>
  <c r="X1072"/>
  <c r="X319"/>
  <c r="X401"/>
  <c r="X631"/>
  <c r="X700"/>
  <c r="X775"/>
  <c r="X819"/>
  <c r="X929"/>
  <c r="X1153"/>
  <c r="X248"/>
  <c r="X241"/>
  <c r="X368"/>
  <c r="X434"/>
  <c r="X762"/>
  <c r="X960"/>
  <c r="X1050"/>
  <c r="X341"/>
  <c r="X399"/>
  <c r="X449"/>
  <c r="X409"/>
  <c r="X997"/>
  <c r="X801"/>
  <c r="X968"/>
  <c r="X842"/>
  <c r="X633"/>
  <c r="X542"/>
  <c r="X557"/>
  <c r="X538"/>
  <c r="X1096"/>
  <c r="X1095" s="1"/>
  <c r="NV24" i="17" s="1"/>
  <c r="X59" i="6"/>
  <c r="X972"/>
  <c r="X773"/>
  <c r="X27"/>
  <c r="X622"/>
  <c r="X1046"/>
  <c r="X781"/>
  <c r="X35"/>
  <c r="X200"/>
  <c r="X324"/>
  <c r="X432"/>
  <c r="X681"/>
  <c r="X1076"/>
  <c r="X811"/>
  <c r="X359"/>
  <c r="X260"/>
  <c r="X65"/>
  <c r="X380"/>
  <c r="X772"/>
  <c r="X970"/>
  <c r="X329"/>
  <c r="X763"/>
  <c r="X961"/>
  <c r="X444"/>
  <c r="X1006"/>
  <c r="X630"/>
  <c r="X1001"/>
  <c r="X405"/>
  <c r="X846"/>
  <c r="X19"/>
  <c r="X4"/>
  <c r="X807"/>
  <c r="X656"/>
  <c r="X1186"/>
  <c r="X799"/>
  <c r="X921"/>
  <c r="X815"/>
  <c r="X840"/>
  <c r="X11"/>
  <c r="X266"/>
  <c r="X61"/>
  <c r="X872"/>
  <c r="X1221"/>
  <c r="X197"/>
  <c r="X259"/>
  <c r="X626"/>
  <c r="X995"/>
  <c r="X1055"/>
  <c r="X625"/>
  <c r="X761"/>
  <c r="X880"/>
  <c r="X1005"/>
  <c r="X14"/>
  <c r="X1049"/>
  <c r="X242"/>
  <c r="X1058"/>
  <c r="X940"/>
  <c r="X62"/>
  <c r="X1078"/>
  <c r="X969"/>
  <c r="X800"/>
  <c r="X938"/>
  <c r="X1000"/>
  <c r="X1052"/>
  <c r="X335"/>
  <c r="X663"/>
  <c r="X732"/>
  <c r="X783"/>
  <c r="X847"/>
  <c r="X264"/>
  <c r="X249"/>
  <c r="X392"/>
  <c r="X442"/>
  <c r="X802"/>
  <c r="X976"/>
  <c r="X1124"/>
  <c r="X360"/>
  <c r="X403"/>
  <c r="X196"/>
  <c r="X30"/>
  <c r="X902"/>
  <c r="X695"/>
  <c r="X694"/>
  <c r="X1148"/>
  <c r="X703"/>
  <c r="X564"/>
  <c r="X511"/>
  <c r="X683"/>
  <c r="X874"/>
  <c r="X796"/>
  <c r="X268"/>
  <c r="X699"/>
  <c r="X920"/>
  <c r="X792"/>
  <c r="X664"/>
  <c r="X1047"/>
  <c r="X853"/>
  <c r="X876"/>
  <c r="X340"/>
  <c r="X933"/>
  <c r="X17"/>
  <c r="X1016"/>
  <c r="X388"/>
  <c r="X43"/>
  <c r="X698"/>
  <c r="X1120"/>
  <c r="X690"/>
  <c r="X36"/>
  <c r="X342"/>
  <c r="X212"/>
  <c r="X1040"/>
  <c r="X760"/>
  <c r="X1061"/>
  <c r="X386"/>
  <c r="X1192"/>
  <c r="X191"/>
  <c r="X206"/>
  <c r="X267"/>
  <c r="X689"/>
  <c r="X879"/>
  <c r="X957"/>
  <c r="X999"/>
  <c r="X1063"/>
  <c r="X657"/>
  <c r="X777"/>
  <c r="X959"/>
  <c r="X1065"/>
  <c r="X809"/>
  <c r="X250"/>
  <c r="X54"/>
  <c r="X931"/>
  <c r="X727"/>
  <c r="X734"/>
  <c r="X702"/>
  <c r="X22"/>
  <c r="N9" i="16"/>
  <c r="Q759" i="6"/>
  <c r="AJ66" i="17"/>
  <c r="C36" i="16"/>
  <c r="L1185" i="6"/>
  <c r="N11" i="5"/>
  <c r="P22"/>
  <c r="W22" i="16"/>
  <c r="W26"/>
  <c r="W13"/>
  <c r="W20"/>
  <c r="W6"/>
  <c r="W12"/>
  <c r="W19"/>
  <c r="W17"/>
  <c r="W18"/>
  <c r="W29"/>
  <c r="W10"/>
  <c r="V33" i="17"/>
  <c r="AG33"/>
  <c r="AJ33" s="1"/>
  <c r="V32"/>
  <c r="AG32"/>
  <c r="AJ32" s="1"/>
  <c r="W4" i="16"/>
  <c r="C9"/>
  <c r="C14"/>
  <c r="C105" s="1"/>
  <c r="C11"/>
  <c r="C102" s="1"/>
  <c r="F22" i="5"/>
  <c r="M10" i="16"/>
  <c r="M28"/>
  <c r="H65" i="9"/>
  <c r="I39" i="16"/>
  <c r="N16" i="5"/>
  <c r="Q16" s="1"/>
  <c r="F24" i="9" s="1"/>
  <c r="H24" s="1"/>
  <c r="M13" i="16"/>
  <c r="M33"/>
  <c r="N18" i="5"/>
  <c r="Q18" s="1"/>
  <c r="F26" i="9" s="1"/>
  <c r="H26" s="1"/>
  <c r="R195" i="6"/>
  <c r="R185" s="1"/>
  <c r="BH19" i="17" s="1"/>
  <c r="G22" i="5"/>
  <c r="N15"/>
  <c r="Q15" s="1"/>
  <c r="F23" i="9" s="1"/>
  <c r="H23" s="1"/>
  <c r="N17" i="5"/>
  <c r="Q17" s="1"/>
  <c r="F25" i="9" s="1"/>
  <c r="H25" s="1"/>
  <c r="R363" i="6"/>
  <c r="R358" s="1"/>
  <c r="CX19" i="17" s="1"/>
  <c r="K22" i="5"/>
  <c r="N6"/>
  <c r="O6" s="1"/>
  <c r="M11" i="16"/>
  <c r="M23"/>
  <c r="M25"/>
  <c r="M26"/>
  <c r="M29"/>
  <c r="M30"/>
  <c r="M32"/>
  <c r="M5"/>
  <c r="M9" s="1"/>
  <c r="M12"/>
  <c r="M17"/>
  <c r="M31"/>
  <c r="M15"/>
  <c r="M16"/>
  <c r="M18"/>
  <c r="M19"/>
  <c r="M20"/>
  <c r="M21"/>
  <c r="M22"/>
  <c r="M6"/>
  <c r="M24" s="1"/>
  <c r="M34"/>
  <c r="X106" i="6"/>
  <c r="X151"/>
  <c r="X115"/>
  <c r="N7" i="5"/>
  <c r="Q7" s="1"/>
  <c r="T759" i="6" s="1"/>
  <c r="E7" i="16" s="1"/>
  <c r="N14" i="5"/>
  <c r="O14" s="1"/>
  <c r="N12"/>
  <c r="O12" s="1"/>
  <c r="N8"/>
  <c r="Q8" s="1"/>
  <c r="R8" s="1"/>
  <c r="N9"/>
  <c r="O9" s="1"/>
  <c r="N20"/>
  <c r="Q20" s="1"/>
  <c r="F28" i="9" s="1"/>
  <c r="H28" s="1"/>
  <c r="N13" i="5"/>
  <c r="O13" s="1"/>
  <c r="N19"/>
  <c r="Q19" s="1"/>
  <c r="F27" i="9" s="1"/>
  <c r="H27" s="1"/>
  <c r="N21" i="5"/>
  <c r="Q21" s="1"/>
  <c r="F29" i="9" s="1"/>
  <c r="H29" s="1"/>
  <c r="I10" i="5"/>
  <c r="J10"/>
  <c r="J22" s="1"/>
  <c r="L10"/>
  <c r="L22" s="1"/>
  <c r="X152" i="6"/>
  <c r="X160"/>
  <c r="X114"/>
  <c r="X758"/>
  <c r="X757" s="1"/>
  <c r="IL24" i="17" s="1"/>
  <c r="X164" i="6"/>
  <c r="X116"/>
  <c r="X108"/>
  <c r="X162"/>
  <c r="X154"/>
  <c r="X146"/>
  <c r="X111"/>
  <c r="X120"/>
  <c r="X118"/>
  <c r="X165"/>
  <c r="X112"/>
  <c r="X150"/>
  <c r="X166"/>
  <c r="X104"/>
  <c r="X158"/>
  <c r="X110"/>
  <c r="X148"/>
  <c r="X109"/>
  <c r="X147"/>
  <c r="X163"/>
  <c r="X149"/>
  <c r="X117"/>
  <c r="X155"/>
  <c r="X156"/>
  <c r="O16" i="5"/>
  <c r="O17"/>
  <c r="O18"/>
  <c r="O19"/>
  <c r="O20"/>
  <c r="NP71" i="17" l="1"/>
  <c r="OD13"/>
  <c r="NQ13"/>
  <c r="NQ71" s="1"/>
  <c r="NV66"/>
  <c r="NS33"/>
  <c r="NR19"/>
  <c r="NS24" s="1"/>
  <c r="OF19"/>
  <c r="NS32"/>
  <c r="NV32" s="1"/>
  <c r="D19"/>
  <c r="E34" i="9"/>
  <c r="E50"/>
  <c r="AH17" i="17"/>
  <c r="JL17"/>
  <c r="SP17"/>
  <c r="SB17"/>
  <c r="RN17"/>
  <c r="QZ17"/>
  <c r="QL17"/>
  <c r="PX17"/>
  <c r="PJ17"/>
  <c r="OV17"/>
  <c r="OH17"/>
  <c r="NT17"/>
  <c r="NF17"/>
  <c r="MR17"/>
  <c r="MD17"/>
  <c r="LP17"/>
  <c r="LB17"/>
  <c r="KN17"/>
  <c r="JZ17"/>
  <c r="IX17"/>
  <c r="IZ17" s="1"/>
  <c r="IJ17"/>
  <c r="HV17"/>
  <c r="HH17"/>
  <c r="GT17"/>
  <c r="GF17"/>
  <c r="FR17"/>
  <c r="FD17"/>
  <c r="EP17"/>
  <c r="EB17"/>
  <c r="DN17"/>
  <c r="CZ17"/>
  <c r="CL17"/>
  <c r="BX17"/>
  <c r="BJ17"/>
  <c r="AV17"/>
  <c r="F17"/>
  <c r="AH18"/>
  <c r="JL18"/>
  <c r="SP18"/>
  <c r="SB18"/>
  <c r="RN18"/>
  <c r="QZ18"/>
  <c r="QL18"/>
  <c r="PX18"/>
  <c r="PJ18"/>
  <c r="OV18"/>
  <c r="OH18"/>
  <c r="NT18"/>
  <c r="NF18"/>
  <c r="MR18"/>
  <c r="MD18"/>
  <c r="LP18"/>
  <c r="LB18"/>
  <c r="KN18"/>
  <c r="JZ18"/>
  <c r="IX18"/>
  <c r="IJ18"/>
  <c r="HV18"/>
  <c r="HH18"/>
  <c r="GT18"/>
  <c r="GF18"/>
  <c r="FR18"/>
  <c r="FD18"/>
  <c r="EP18"/>
  <c r="EB18"/>
  <c r="DN18"/>
  <c r="CZ18"/>
  <c r="CL18"/>
  <c r="BX18"/>
  <c r="BJ18"/>
  <c r="AV18"/>
  <c r="F18"/>
  <c r="Q13" i="5"/>
  <c r="F21" i="9" s="1"/>
  <c r="H21" s="1"/>
  <c r="CY24" i="17"/>
  <c r="V759" i="6"/>
  <c r="G7" i="16" s="1"/>
  <c r="IV18" i="17"/>
  <c r="GS24"/>
  <c r="JJ19"/>
  <c r="IW24"/>
  <c r="JY24"/>
  <c r="DM24"/>
  <c r="EA24"/>
  <c r="KM24"/>
  <c r="HU24"/>
  <c r="E24"/>
  <c r="FQ24"/>
  <c r="GE24"/>
  <c r="BI24"/>
  <c r="AU24"/>
  <c r="MC24"/>
  <c r="OG24"/>
  <c r="LO24"/>
  <c r="NE24"/>
  <c r="MQ24"/>
  <c r="BW24"/>
  <c r="LA24"/>
  <c r="HG24"/>
  <c r="FC24"/>
  <c r="EO24"/>
  <c r="CK24"/>
  <c r="C100" i="16"/>
  <c r="C42"/>
  <c r="W36"/>
  <c r="C127"/>
  <c r="N42"/>
  <c r="AB358" i="6"/>
  <c r="AB1275" s="1"/>
  <c r="M1275"/>
  <c r="X504"/>
  <c r="FF24" i="17" s="1"/>
  <c r="X1185" i="6"/>
  <c r="X379"/>
  <c r="DP24" i="17" s="1"/>
  <c r="X679" i="6"/>
  <c r="HJ24" i="17" s="1"/>
  <c r="X919" i="6"/>
  <c r="LR24" i="17" s="1"/>
  <c r="X897" i="6"/>
  <c r="LD24" i="17" s="1"/>
  <c r="X838" i="6"/>
  <c r="KB24" i="17" s="1"/>
  <c r="X144" i="6"/>
  <c r="AX24" i="17" s="1"/>
  <c r="X759" i="6"/>
  <c r="X618"/>
  <c r="GH24" i="17" s="1"/>
  <c r="X1218" i="6"/>
  <c r="X1145"/>
  <c r="X993"/>
  <c r="MT24" i="17" s="1"/>
  <c r="X1038" i="6"/>
  <c r="NH24" i="17" s="1"/>
  <c r="X238" i="6"/>
  <c r="BZ24" i="17" s="1"/>
  <c r="X1119" i="6"/>
  <c r="OJ24" i="17" s="1"/>
  <c r="X871" i="6"/>
  <c r="KP24" i="17" s="1"/>
  <c r="X317" i="6"/>
  <c r="CN24" i="17" s="1"/>
  <c r="X430" i="6"/>
  <c r="ED24" i="17" s="1"/>
  <c r="X725" i="6"/>
  <c r="HX24" i="17" s="1"/>
  <c r="X953" i="6"/>
  <c r="MF24" i="17" s="1"/>
  <c r="X654" i="6"/>
  <c r="GV24" i="17" s="1"/>
  <c r="X103" i="6"/>
  <c r="Z759"/>
  <c r="K7" i="16" s="1"/>
  <c r="AA759" i="6"/>
  <c r="L7" i="16" s="1"/>
  <c r="Y759" i="6"/>
  <c r="AD759"/>
  <c r="O7" i="16" s="1"/>
  <c r="X195" i="6"/>
  <c r="X185" s="1"/>
  <c r="BL24" i="17" s="1"/>
  <c r="C90" i="6"/>
  <c r="X89"/>
  <c r="X363"/>
  <c r="X358" s="1"/>
  <c r="DB24" i="17" s="1"/>
  <c r="W14" i="16"/>
  <c r="W11"/>
  <c r="W9"/>
  <c r="Q6" i="5"/>
  <c r="F16" i="9"/>
  <c r="TD18" i="17"/>
  <c r="T18"/>
  <c r="F15" i="9"/>
  <c r="TD17" i="17"/>
  <c r="T17"/>
  <c r="H63" i="9"/>
  <c r="H66"/>
  <c r="I40" i="16"/>
  <c r="H67" i="9"/>
  <c r="I41" i="16"/>
  <c r="O21" i="5"/>
  <c r="R7"/>
  <c r="O7"/>
  <c r="O15"/>
  <c r="Q12"/>
  <c r="Q14"/>
  <c r="F85" i="10"/>
  <c r="J85" s="1"/>
  <c r="Q9" i="5"/>
  <c r="W195" i="6" s="1"/>
  <c r="O8" i="5"/>
  <c r="N10"/>
  <c r="N22" s="1"/>
  <c r="O22" s="1"/>
  <c r="I22"/>
  <c r="R13"/>
  <c r="V13"/>
  <c r="O11"/>
  <c r="Q11"/>
  <c r="F19" i="9" s="1"/>
  <c r="H19" s="1"/>
  <c r="V21" i="5"/>
  <c r="R21"/>
  <c r="V20"/>
  <c r="R20"/>
  <c r="V19"/>
  <c r="R19"/>
  <c r="V18"/>
  <c r="R18"/>
  <c r="V17"/>
  <c r="R17"/>
  <c r="V16"/>
  <c r="R16"/>
  <c r="V15"/>
  <c r="R15"/>
  <c r="OD71" i="17" l="1"/>
  <c r="OE13"/>
  <c r="OE71" s="1"/>
  <c r="OR13"/>
  <c r="OJ66"/>
  <c r="OG33"/>
  <c r="OJ33" s="1"/>
  <c r="OG32"/>
  <c r="NV33"/>
  <c r="JL19"/>
  <c r="SP19"/>
  <c r="SB19"/>
  <c r="RN19"/>
  <c r="QZ19"/>
  <c r="QL19"/>
  <c r="PX19"/>
  <c r="PJ19"/>
  <c r="OV19"/>
  <c r="OH19"/>
  <c r="OJ19" s="1"/>
  <c r="NT19"/>
  <c r="NV19" s="1"/>
  <c r="NF19"/>
  <c r="NH19" s="1"/>
  <c r="MR19"/>
  <c r="MT19" s="1"/>
  <c r="MD19"/>
  <c r="MF19" s="1"/>
  <c r="LP19"/>
  <c r="LR19" s="1"/>
  <c r="LB19"/>
  <c r="LD19" s="1"/>
  <c r="KN19"/>
  <c r="KP19" s="1"/>
  <c r="JZ19"/>
  <c r="KB19" s="1"/>
  <c r="IX19"/>
  <c r="IZ19" s="1"/>
  <c r="IJ19"/>
  <c r="IL19" s="1"/>
  <c r="HV19"/>
  <c r="HX19" s="1"/>
  <c r="HH19"/>
  <c r="HJ19" s="1"/>
  <c r="GT19"/>
  <c r="GV19" s="1"/>
  <c r="GF19"/>
  <c r="GH19" s="1"/>
  <c r="FR19"/>
  <c r="FT19" s="1"/>
  <c r="FD19"/>
  <c r="FF19" s="1"/>
  <c r="EP19"/>
  <c r="ER19" s="1"/>
  <c r="EB19"/>
  <c r="ED19" s="1"/>
  <c r="DN19"/>
  <c r="DP19" s="1"/>
  <c r="CZ19"/>
  <c r="DB19" s="1"/>
  <c r="CL19"/>
  <c r="CN19" s="1"/>
  <c r="BX19"/>
  <c r="BZ19" s="1"/>
  <c r="BJ19"/>
  <c r="BL19" s="1"/>
  <c r="AV19"/>
  <c r="AX19" s="1"/>
  <c r="F19"/>
  <c r="H19" s="1"/>
  <c r="W1269" i="6"/>
  <c r="W1265"/>
  <c r="W1272"/>
  <c r="W1266"/>
  <c r="W1273"/>
  <c r="W1267"/>
  <c r="W1274"/>
  <c r="W1270"/>
  <c r="W1268"/>
  <c r="W1271"/>
  <c r="W137"/>
  <c r="W129"/>
  <c r="W183"/>
  <c r="W221"/>
  <c r="W373"/>
  <c r="W458"/>
  <c r="W553"/>
  <c r="W533"/>
  <c r="W721"/>
  <c r="W713"/>
  <c r="W752"/>
  <c r="W834"/>
  <c r="W826"/>
  <c r="W866"/>
  <c r="W890"/>
  <c r="W917"/>
  <c r="W909"/>
  <c r="W947"/>
  <c r="W1258"/>
  <c r="W1250"/>
  <c r="W1031"/>
  <c r="W136"/>
  <c r="W128"/>
  <c r="W346"/>
  <c r="W552"/>
  <c r="W527"/>
  <c r="W1248"/>
  <c r="W311"/>
  <c r="W303"/>
  <c r="W295"/>
  <c r="W345"/>
  <c r="W456"/>
  <c r="W550"/>
  <c r="W614"/>
  <c r="W719"/>
  <c r="W711"/>
  <c r="W750"/>
  <c r="W988"/>
  <c r="W980"/>
  <c r="W1087"/>
  <c r="W1144"/>
  <c r="W1136"/>
  <c r="W1167"/>
  <c r="W1159"/>
  <c r="W1179"/>
  <c r="W1203"/>
  <c r="W1195"/>
  <c r="W1211"/>
  <c r="W1229"/>
  <c r="W1244"/>
  <c r="W1236"/>
  <c r="W1256"/>
  <c r="W1037"/>
  <c r="W1029"/>
  <c r="W1021"/>
  <c r="W142"/>
  <c r="W134"/>
  <c r="W126"/>
  <c r="W180"/>
  <c r="W172"/>
  <c r="W234"/>
  <c r="W226"/>
  <c r="W310"/>
  <c r="W302"/>
  <c r="W352"/>
  <c r="W378"/>
  <c r="W428"/>
  <c r="W420"/>
  <c r="W463"/>
  <c r="W455"/>
  <c r="W522"/>
  <c r="W613"/>
  <c r="W823"/>
  <c r="W1158"/>
  <c r="W1178"/>
  <c r="W1202"/>
  <c r="W1255"/>
  <c r="W1036"/>
  <c r="W1028"/>
  <c r="W171"/>
  <c r="W233"/>
  <c r="W225"/>
  <c r="W293"/>
  <c r="W427"/>
  <c r="W419"/>
  <c r="W462"/>
  <c r="W496"/>
  <c r="W612"/>
  <c r="W675"/>
  <c r="W667"/>
  <c r="W870"/>
  <c r="W862"/>
  <c r="W894"/>
  <c r="W943"/>
  <c r="W1093"/>
  <c r="W1085"/>
  <c r="W1142"/>
  <c r="W1134"/>
  <c r="W1165"/>
  <c r="W1157"/>
  <c r="W1227"/>
  <c r="W1242"/>
  <c r="W1262"/>
  <c r="W132"/>
  <c r="W124"/>
  <c r="W178"/>
  <c r="W300"/>
  <c r="W350"/>
  <c r="W507"/>
  <c r="W611"/>
  <c r="W674"/>
  <c r="W724"/>
  <c r="W869"/>
  <c r="W861"/>
  <c r="W893"/>
  <c r="W942"/>
  <c r="W1092"/>
  <c r="W1084"/>
  <c r="W1141"/>
  <c r="W1133"/>
  <c r="W1164"/>
  <c r="W1184"/>
  <c r="W1176"/>
  <c r="W1200"/>
  <c r="W1216"/>
  <c r="W1208"/>
  <c r="W1226"/>
  <c r="W1241"/>
  <c r="W1261"/>
  <c r="W1253"/>
  <c r="W1034"/>
  <c r="W1026"/>
  <c r="W139"/>
  <c r="W131"/>
  <c r="W123"/>
  <c r="W177"/>
  <c r="W169"/>
  <c r="W231"/>
  <c r="W223"/>
  <c r="W315"/>
  <c r="W307"/>
  <c r="W299"/>
  <c r="W357"/>
  <c r="W375"/>
  <c r="W425"/>
  <c r="W417"/>
  <c r="W460"/>
  <c r="W502"/>
  <c r="W540"/>
  <c r="W596"/>
  <c r="W884"/>
  <c r="W1132"/>
  <c r="W1163"/>
  <c r="W1183"/>
  <c r="W1240"/>
  <c r="W1260"/>
  <c r="W1252"/>
  <c r="W176"/>
  <c r="W230"/>
  <c r="W374"/>
  <c r="W424"/>
  <c r="W593"/>
  <c r="W722"/>
  <c r="W714"/>
  <c r="W753"/>
  <c r="W175"/>
  <c r="W237"/>
  <c r="W313"/>
  <c r="W305"/>
  <c r="W355"/>
  <c r="W347"/>
  <c r="W500"/>
  <c r="W616"/>
  <c r="W608"/>
  <c r="W591"/>
  <c r="W990"/>
  <c r="W982"/>
  <c r="W1089"/>
  <c r="W1138"/>
  <c r="W1161"/>
  <c r="W1181"/>
  <c r="W1173"/>
  <c r="W1213"/>
  <c r="W1231"/>
  <c r="W1223"/>
  <c r="W174"/>
  <c r="W236"/>
  <c r="W228"/>
  <c r="W312"/>
  <c r="W304"/>
  <c r="W296"/>
  <c r="W372"/>
  <c r="W422"/>
  <c r="W457"/>
  <c r="W499"/>
  <c r="W615"/>
  <c r="W607"/>
  <c r="W587"/>
  <c r="W678"/>
  <c r="W720"/>
  <c r="W712"/>
  <c r="W751"/>
  <c r="W833"/>
  <c r="W825"/>
  <c r="W865"/>
  <c r="W889"/>
  <c r="W916"/>
  <c r="W908"/>
  <c r="W989"/>
  <c r="W981"/>
  <c r="W1088"/>
  <c r="W1098"/>
  <c r="W1137"/>
  <c r="W1160"/>
  <c r="W1180"/>
  <c r="W1172"/>
  <c r="W1212"/>
  <c r="W1230"/>
  <c r="W1245"/>
  <c r="W1257"/>
  <c r="W1030"/>
  <c r="W143"/>
  <c r="W135"/>
  <c r="W127"/>
  <c r="W173"/>
  <c r="W235"/>
  <c r="W227"/>
  <c r="W429"/>
  <c r="W421"/>
  <c r="W413"/>
  <c r="W498"/>
  <c r="W525"/>
  <c r="W586"/>
  <c r="W677"/>
  <c r="W832"/>
  <c r="W824"/>
  <c r="W864"/>
  <c r="W888"/>
  <c r="W915"/>
  <c r="W907"/>
  <c r="W208"/>
  <c r="W294"/>
  <c r="W497"/>
  <c r="W549"/>
  <c r="W676"/>
  <c r="W668"/>
  <c r="W718"/>
  <c r="W710"/>
  <c r="W749"/>
  <c r="W741"/>
  <c r="W831"/>
  <c r="W863"/>
  <c r="W895"/>
  <c r="W887"/>
  <c r="W914"/>
  <c r="W952"/>
  <c r="W944"/>
  <c r="W987"/>
  <c r="W1094"/>
  <c r="W1086"/>
  <c r="W1143"/>
  <c r="W1135"/>
  <c r="W1210"/>
  <c r="W1228"/>
  <c r="W1243"/>
  <c r="W141"/>
  <c r="W133"/>
  <c r="W125"/>
  <c r="W301"/>
  <c r="W351"/>
  <c r="W563"/>
  <c r="W544"/>
  <c r="W510"/>
  <c r="W600"/>
  <c r="W756"/>
  <c r="W748"/>
  <c r="W740"/>
  <c r="W913"/>
  <c r="W951"/>
  <c r="W1177"/>
  <c r="W1201"/>
  <c r="W1217"/>
  <c r="W1035"/>
  <c r="W1027"/>
  <c r="W1019"/>
  <c r="W232"/>
  <c r="W224"/>
  <c r="W316"/>
  <c r="W292"/>
  <c r="W426"/>
  <c r="W418"/>
  <c r="W461"/>
  <c r="W495"/>
  <c r="W561"/>
  <c r="W541"/>
  <c r="W599"/>
  <c r="W755"/>
  <c r="W747"/>
  <c r="W837"/>
  <c r="W912"/>
  <c r="W950"/>
  <c r="W349"/>
  <c r="W558"/>
  <c r="W610"/>
  <c r="W673"/>
  <c r="W723"/>
  <c r="W715"/>
  <c r="W754"/>
  <c r="W746"/>
  <c r="W836"/>
  <c r="W828"/>
  <c r="W868"/>
  <c r="W860"/>
  <c r="W892"/>
  <c r="W911"/>
  <c r="W949"/>
  <c r="W992"/>
  <c r="W984"/>
  <c r="W1091"/>
  <c r="W1083"/>
  <c r="W1199"/>
  <c r="W1215"/>
  <c r="W1207"/>
  <c r="W1025"/>
  <c r="W138"/>
  <c r="W130"/>
  <c r="W168"/>
  <c r="W314"/>
  <c r="W306"/>
  <c r="W298"/>
  <c r="W348"/>
  <c r="W459"/>
  <c r="W501"/>
  <c r="W554"/>
  <c r="W539"/>
  <c r="W617"/>
  <c r="W609"/>
  <c r="W835"/>
  <c r="W827"/>
  <c r="W867"/>
  <c r="W991"/>
  <c r="W983"/>
  <c r="W1090"/>
  <c r="W891"/>
  <c r="W910"/>
  <c r="W1131"/>
  <c r="W1182"/>
  <c r="W1198"/>
  <c r="W1232"/>
  <c r="W918"/>
  <c r="W1139"/>
  <c r="W1162"/>
  <c r="W1174"/>
  <c r="W1214"/>
  <c r="W1224"/>
  <c r="W1239"/>
  <c r="W1259"/>
  <c r="W1251"/>
  <c r="W1032"/>
  <c r="W1024"/>
  <c r="W1112"/>
  <c r="W948"/>
  <c r="W745"/>
  <c r="W641"/>
  <c r="W572"/>
  <c r="W416"/>
  <c r="W222"/>
  <c r="W71"/>
  <c r="W87"/>
  <c r="W1033"/>
  <c r="W1175"/>
  <c r="W1105"/>
  <c r="W642"/>
  <c r="W506"/>
  <c r="W581"/>
  <c r="W80"/>
  <c r="W96"/>
  <c r="W1114"/>
  <c r="W885"/>
  <c r="W716"/>
  <c r="W651"/>
  <c r="W503"/>
  <c r="W308"/>
  <c r="W140"/>
  <c r="W81"/>
  <c r="W97"/>
  <c r="W1209"/>
  <c r="W1107"/>
  <c r="W986"/>
  <c r="W830"/>
  <c r="W644"/>
  <c r="W454"/>
  <c r="W309"/>
  <c r="W74"/>
  <c r="W90"/>
  <c r="W1020"/>
  <c r="W1194"/>
  <c r="W1108"/>
  <c r="W645"/>
  <c r="W601"/>
  <c r="W576"/>
  <c r="W83"/>
  <c r="W99"/>
  <c r="W1117"/>
  <c r="W896"/>
  <c r="W669"/>
  <c r="W602"/>
  <c r="W577"/>
  <c r="W353"/>
  <c r="W181"/>
  <c r="W84"/>
  <c r="W100"/>
  <c r="W1237"/>
  <c r="W1168"/>
  <c r="W1118"/>
  <c r="W857"/>
  <c r="W670"/>
  <c r="W570"/>
  <c r="W220"/>
  <c r="W69"/>
  <c r="W85"/>
  <c r="W101"/>
  <c r="W1238"/>
  <c r="W1111"/>
  <c r="W640"/>
  <c r="W579"/>
  <c r="W423"/>
  <c r="W297"/>
  <c r="W229"/>
  <c r="W70"/>
  <c r="W86"/>
  <c r="W102"/>
  <c r="W414"/>
  <c r="W1130"/>
  <c r="W1104"/>
  <c r="W1082"/>
  <c r="W859"/>
  <c r="W672"/>
  <c r="W649"/>
  <c r="W580"/>
  <c r="W356"/>
  <c r="W184"/>
  <c r="W79"/>
  <c r="W95"/>
  <c r="W1225"/>
  <c r="W1140"/>
  <c r="W1113"/>
  <c r="W650"/>
  <c r="W573"/>
  <c r="W72"/>
  <c r="W88"/>
  <c r="W1106"/>
  <c r="W985"/>
  <c r="W829"/>
  <c r="W643"/>
  <c r="W574"/>
  <c r="W376"/>
  <c r="W170"/>
  <c r="W73"/>
  <c r="W89"/>
  <c r="W1254"/>
  <c r="W1115"/>
  <c r="W886"/>
  <c r="W717"/>
  <c r="W652"/>
  <c r="W575"/>
  <c r="W377"/>
  <c r="W179"/>
  <c r="W82"/>
  <c r="W98"/>
  <c r="W1235"/>
  <c r="W1166"/>
  <c r="W1116"/>
  <c r="W653"/>
  <c r="W567"/>
  <c r="W75"/>
  <c r="W91"/>
  <c r="W1109"/>
  <c r="W945"/>
  <c r="W742"/>
  <c r="W646"/>
  <c r="W569"/>
  <c r="W219"/>
  <c r="W76"/>
  <c r="W92"/>
  <c r="W1022"/>
  <c r="W1196"/>
  <c r="W1110"/>
  <c r="W946"/>
  <c r="W743"/>
  <c r="W647"/>
  <c r="W578"/>
  <c r="W354"/>
  <c r="W182"/>
  <c r="W77"/>
  <c r="W93"/>
  <c r="W1023"/>
  <c r="W1197"/>
  <c r="W1103"/>
  <c r="W1081"/>
  <c r="W648"/>
  <c r="W571"/>
  <c r="W415"/>
  <c r="W78"/>
  <c r="W94"/>
  <c r="W671"/>
  <c r="W744"/>
  <c r="W858"/>
  <c r="W1206"/>
  <c r="W595"/>
  <c r="W592"/>
  <c r="W548"/>
  <c r="W566"/>
  <c r="W606"/>
  <c r="W1264"/>
  <c r="W1263" s="1"/>
  <c r="W1080"/>
  <c r="W551"/>
  <c r="W588"/>
  <c r="W583"/>
  <c r="W883"/>
  <c r="W546"/>
  <c r="W562"/>
  <c r="W537"/>
  <c r="W536"/>
  <c r="W1249"/>
  <c r="W1171"/>
  <c r="W603"/>
  <c r="W605"/>
  <c r="W543"/>
  <c r="W203"/>
  <c r="W514"/>
  <c r="W534"/>
  <c r="W508"/>
  <c r="W512"/>
  <c r="W516"/>
  <c r="W530"/>
  <c r="W519"/>
  <c r="W509"/>
  <c r="W520"/>
  <c r="W523"/>
  <c r="W517"/>
  <c r="W528"/>
  <c r="W521"/>
  <c r="W1247"/>
  <c r="W1234"/>
  <c r="W291"/>
  <c r="W639"/>
  <c r="W568"/>
  <c r="W67"/>
  <c r="W565"/>
  <c r="W68"/>
  <c r="W465"/>
  <c r="W270"/>
  <c r="W284"/>
  <c r="W280"/>
  <c r="W289"/>
  <c r="W273"/>
  <c r="W278"/>
  <c r="W287"/>
  <c r="W271"/>
  <c r="W285"/>
  <c r="W638"/>
  <c r="W277"/>
  <c r="W275"/>
  <c r="W286"/>
  <c r="W279"/>
  <c r="W282"/>
  <c r="W276"/>
  <c r="W269"/>
  <c r="W290"/>
  <c r="W274"/>
  <c r="W283"/>
  <c r="W288"/>
  <c r="W272"/>
  <c r="W281"/>
  <c r="W1102"/>
  <c r="W217"/>
  <c r="W218"/>
  <c r="W473"/>
  <c r="W481"/>
  <c r="W1156"/>
  <c r="W482"/>
  <c r="W490"/>
  <c r="W822"/>
  <c r="W598"/>
  <c r="W469"/>
  <c r="W493"/>
  <c r="W470"/>
  <c r="W478"/>
  <c r="W589"/>
  <c r="W604"/>
  <c r="W590"/>
  <c r="W979"/>
  <c r="W1018"/>
  <c r="W412"/>
  <c r="W483"/>
  <c r="W491"/>
  <c r="W1099"/>
  <c r="W476"/>
  <c r="W484"/>
  <c r="W856"/>
  <c r="W709"/>
  <c r="W477"/>
  <c r="W1100"/>
  <c r="W739"/>
  <c r="W1097"/>
  <c r="W594"/>
  <c r="W453"/>
  <c r="W480"/>
  <c r="W1222"/>
  <c r="W487"/>
  <c r="W941"/>
  <c r="W486"/>
  <c r="W1129"/>
  <c r="W344"/>
  <c r="W585"/>
  <c r="W1101"/>
  <c r="W485"/>
  <c r="W494"/>
  <c r="W1193"/>
  <c r="W492"/>
  <c r="W467"/>
  <c r="W371"/>
  <c r="W489"/>
  <c r="W488"/>
  <c r="W472"/>
  <c r="W906"/>
  <c r="W471"/>
  <c r="W666"/>
  <c r="W597"/>
  <c r="W468"/>
  <c r="W475"/>
  <c r="W474"/>
  <c r="W479"/>
  <c r="W513"/>
  <c r="W466"/>
  <c r="W204"/>
  <c r="W187"/>
  <c r="W505"/>
  <c r="W526"/>
  <c r="W560"/>
  <c r="W515"/>
  <c r="W167"/>
  <c r="W122"/>
  <c r="W584"/>
  <c r="W10"/>
  <c r="W337"/>
  <c r="W396"/>
  <c r="W1066"/>
  <c r="W1039"/>
  <c r="W662"/>
  <c r="W731"/>
  <c r="W246"/>
  <c r="W780"/>
  <c r="W795"/>
  <c r="W331"/>
  <c r="W927"/>
  <c r="W782"/>
  <c r="W397"/>
  <c r="W935"/>
  <c r="W26"/>
  <c r="W254"/>
  <c r="W366"/>
  <c r="W252"/>
  <c r="W812"/>
  <c r="W445"/>
  <c r="W977"/>
  <c r="W25"/>
  <c r="W190"/>
  <c r="W636"/>
  <c r="W844"/>
  <c r="W437"/>
  <c r="W803"/>
  <c r="W1015"/>
  <c r="W1002"/>
  <c r="W789"/>
  <c r="W365"/>
  <c r="W955"/>
  <c r="W655"/>
  <c r="W384"/>
  <c r="W1219"/>
  <c r="W1189"/>
  <c r="W186"/>
  <c r="W21"/>
  <c r="W930"/>
  <c r="W6"/>
  <c r="W816"/>
  <c r="W1056"/>
  <c r="W1122"/>
  <c r="W736"/>
  <c r="W787"/>
  <c r="W194"/>
  <c r="W265"/>
  <c r="W400"/>
  <c r="W450"/>
  <c r="W628"/>
  <c r="W810"/>
  <c r="W325"/>
  <c r="W367"/>
  <c r="W336"/>
  <c r="W15"/>
  <c r="W23"/>
  <c r="W770"/>
  <c r="W817"/>
  <c r="W785"/>
  <c r="W529"/>
  <c r="W805"/>
  <c r="W210"/>
  <c r="W245"/>
  <c r="W9"/>
  <c r="W387"/>
  <c r="W1009"/>
  <c r="W326"/>
  <c r="W937"/>
  <c r="W765"/>
  <c r="W1152"/>
  <c r="W339"/>
  <c r="W395"/>
  <c r="W804"/>
  <c r="W1007"/>
  <c r="W1074"/>
  <c r="W623"/>
  <c r="W774"/>
  <c r="W389"/>
  <c r="W971"/>
  <c r="W814"/>
  <c r="W34"/>
  <c r="W262"/>
  <c r="W192"/>
  <c r="W382"/>
  <c r="W875"/>
  <c r="W619"/>
  <c r="W1043"/>
  <c r="W199"/>
  <c r="W33"/>
  <c r="W209"/>
  <c r="W852"/>
  <c r="W635"/>
  <c r="W1059"/>
  <c r="W1188"/>
  <c r="W394"/>
  <c r="W794"/>
  <c r="W435"/>
  <c r="W323"/>
  <c r="W790"/>
  <c r="W797"/>
  <c r="W738"/>
  <c r="W12"/>
  <c r="W5"/>
  <c r="W798"/>
  <c r="W768"/>
  <c r="W37"/>
  <c r="W13"/>
  <c r="W38"/>
  <c r="W954"/>
  <c r="W205"/>
  <c r="W215"/>
  <c r="W1079"/>
  <c r="W793"/>
  <c r="W967"/>
  <c r="W1073"/>
  <c r="W923"/>
  <c r="W370"/>
  <c r="W39"/>
  <c r="W63"/>
  <c r="W786"/>
  <c r="W46"/>
  <c r="W47"/>
  <c r="W559"/>
  <c r="W332"/>
  <c r="W1190"/>
  <c r="W1008"/>
  <c r="W452"/>
  <c r="W20"/>
  <c r="W328"/>
  <c r="W18"/>
  <c r="W330"/>
  <c r="W1071"/>
  <c r="W806"/>
  <c r="W1017"/>
  <c r="W362"/>
  <c r="W877"/>
  <c r="W621"/>
  <c r="W42"/>
  <c r="W1187"/>
  <c r="W247"/>
  <c r="W261"/>
  <c r="W934"/>
  <c r="W1075"/>
  <c r="W189"/>
  <c r="W41"/>
  <c r="W253"/>
  <c r="W905"/>
  <c r="W1126"/>
  <c r="W1067"/>
  <c r="W402"/>
  <c r="W443"/>
  <c r="W381"/>
  <c r="W821"/>
  <c r="W28"/>
  <c r="W900"/>
  <c r="W257"/>
  <c r="W53"/>
  <c r="W45"/>
  <c r="W7"/>
  <c r="W1057"/>
  <c r="W820"/>
  <c r="W901"/>
  <c r="W1064"/>
  <c r="W627"/>
  <c r="W767"/>
  <c r="W791"/>
  <c r="W213"/>
  <c r="W334"/>
  <c r="W632"/>
  <c r="W818"/>
  <c r="W1042"/>
  <c r="W333"/>
  <c r="W383"/>
  <c r="W939"/>
  <c r="W634"/>
  <c r="W55"/>
  <c r="W726"/>
  <c r="W903"/>
  <c r="W258"/>
  <c r="W243"/>
  <c r="W924"/>
  <c r="W518"/>
  <c r="W813"/>
  <c r="W729"/>
  <c r="W854"/>
  <c r="W936"/>
  <c r="W398"/>
  <c r="W978"/>
  <c r="W49"/>
  <c r="W926"/>
  <c r="W1150"/>
  <c r="W904"/>
  <c r="W1125"/>
  <c r="W1191"/>
  <c r="W410"/>
  <c r="W451"/>
  <c r="W629"/>
  <c r="W963"/>
  <c r="W845"/>
  <c r="W193"/>
  <c r="W240"/>
  <c r="W733"/>
  <c r="W320"/>
  <c r="W31"/>
  <c r="W1041"/>
  <c r="W1123"/>
  <c r="W188"/>
  <c r="W251"/>
  <c r="W1051"/>
  <c r="W975"/>
  <c r="W327"/>
  <c r="W201"/>
  <c r="W769"/>
  <c r="W932"/>
  <c r="W735"/>
  <c r="W778"/>
  <c r="W343"/>
  <c r="W771"/>
  <c r="W661"/>
  <c r="W211"/>
  <c r="W682"/>
  <c r="W50"/>
  <c r="W255"/>
  <c r="W728"/>
  <c r="W207"/>
  <c r="W322"/>
  <c r="W928"/>
  <c r="W706"/>
  <c r="W1151"/>
  <c r="W994"/>
  <c r="W730"/>
  <c r="W58"/>
  <c r="W263"/>
  <c r="W620"/>
  <c r="W779"/>
  <c r="W198"/>
  <c r="W216"/>
  <c r="W244"/>
  <c r="W57"/>
  <c r="W338"/>
  <c r="W764"/>
  <c r="W962"/>
  <c r="W321"/>
  <c r="W925"/>
  <c r="W1149"/>
  <c r="W436"/>
  <c r="W637"/>
  <c r="W1010"/>
  <c r="W1127"/>
  <c r="W60"/>
  <c r="W766"/>
  <c r="W624"/>
  <c r="W256"/>
  <c r="W776"/>
  <c r="W784"/>
  <c r="W407"/>
  <c r="W808"/>
  <c r="W239"/>
  <c r="W214"/>
  <c r="W29"/>
  <c r="W788"/>
  <c r="W922"/>
  <c r="W1048"/>
  <c r="W1072"/>
  <c r="W319"/>
  <c r="W631"/>
  <c r="W775"/>
  <c r="W819"/>
  <c r="W929"/>
  <c r="W1153"/>
  <c r="W248"/>
  <c r="W241"/>
  <c r="W368"/>
  <c r="W434"/>
  <c r="W762"/>
  <c r="W960"/>
  <c r="W1050"/>
  <c r="W341"/>
  <c r="W801"/>
  <c r="W968"/>
  <c r="W633"/>
  <c r="W542"/>
  <c r="W59"/>
  <c r="W773"/>
  <c r="W622"/>
  <c r="W781"/>
  <c r="W35"/>
  <c r="W200"/>
  <c r="W324"/>
  <c r="W811"/>
  <c r="W359"/>
  <c r="W260"/>
  <c r="W65"/>
  <c r="W380"/>
  <c r="W772"/>
  <c r="W970"/>
  <c r="W329"/>
  <c r="W763"/>
  <c r="W961"/>
  <c r="W444"/>
  <c r="W630"/>
  <c r="W1001"/>
  <c r="W405"/>
  <c r="W846"/>
  <c r="W19"/>
  <c r="W4"/>
  <c r="W807"/>
  <c r="W1186"/>
  <c r="W799"/>
  <c r="W921"/>
  <c r="W815"/>
  <c r="W266"/>
  <c r="W61"/>
  <c r="W197"/>
  <c r="W259"/>
  <c r="W626"/>
  <c r="W1055"/>
  <c r="W625"/>
  <c r="W761"/>
  <c r="W14"/>
  <c r="W1049"/>
  <c r="W242"/>
  <c r="W1058"/>
  <c r="W940"/>
  <c r="W62"/>
  <c r="W969"/>
  <c r="W800"/>
  <c r="W938"/>
  <c r="W1000"/>
  <c r="W335"/>
  <c r="W663"/>
  <c r="W732"/>
  <c r="W783"/>
  <c r="W264"/>
  <c r="W249"/>
  <c r="W392"/>
  <c r="W442"/>
  <c r="W802"/>
  <c r="W976"/>
  <c r="W1124"/>
  <c r="W403"/>
  <c r="W196"/>
  <c r="W185" s="1"/>
  <c r="W30"/>
  <c r="W902"/>
  <c r="W1148"/>
  <c r="W511"/>
  <c r="W796"/>
  <c r="W268"/>
  <c r="W920"/>
  <c r="W792"/>
  <c r="W1047"/>
  <c r="W853"/>
  <c r="W876"/>
  <c r="W340"/>
  <c r="W933"/>
  <c r="W17"/>
  <c r="W1016"/>
  <c r="W388"/>
  <c r="W43"/>
  <c r="W698"/>
  <c r="W690"/>
  <c r="W36"/>
  <c r="W342"/>
  <c r="W212"/>
  <c r="W1040"/>
  <c r="W760"/>
  <c r="W386"/>
  <c r="W1192"/>
  <c r="W191"/>
  <c r="W206"/>
  <c r="W267"/>
  <c r="W999"/>
  <c r="W1063"/>
  <c r="W777"/>
  <c r="W959"/>
  <c r="W1065"/>
  <c r="W809"/>
  <c r="W250"/>
  <c r="W54"/>
  <c r="W931"/>
  <c r="W727"/>
  <c r="W734"/>
  <c r="W22"/>
  <c r="W3"/>
  <c r="W406"/>
  <c r="W1044"/>
  <c r="W704"/>
  <c r="W1053"/>
  <c r="W1155"/>
  <c r="W996"/>
  <c r="W401"/>
  <c r="W399"/>
  <c r="W449"/>
  <c r="W409"/>
  <c r="W997"/>
  <c r="W842"/>
  <c r="W557"/>
  <c r="W538"/>
  <c r="W27"/>
  <c r="W840"/>
  <c r="W11"/>
  <c r="W1221"/>
  <c r="W995"/>
  <c r="W695"/>
  <c r="W694"/>
  <c r="W683"/>
  <c r="W874"/>
  <c r="W1120"/>
  <c r="W957"/>
  <c r="W657"/>
  <c r="W545"/>
  <c r="W202"/>
  <c r="W531"/>
  <c r="W535"/>
  <c r="W555"/>
  <c r="W524"/>
  <c r="W556"/>
  <c r="W1070"/>
  <c r="W16"/>
  <c r="W446"/>
  <c r="W899"/>
  <c r="W1011"/>
  <c r="W707"/>
  <c r="W438"/>
  <c r="W24"/>
  <c r="W1060"/>
  <c r="W8"/>
  <c r="W687"/>
  <c r="W369"/>
  <c r="W691"/>
  <c r="W52"/>
  <c r="W1121"/>
  <c r="W708"/>
  <c r="W966"/>
  <c r="W1004"/>
  <c r="W385"/>
  <c r="W688"/>
  <c r="W878"/>
  <c r="W1014"/>
  <c r="W433"/>
  <c r="W841"/>
  <c r="W532"/>
  <c r="W1128"/>
  <c r="W447"/>
  <c r="W1045"/>
  <c r="W32"/>
  <c r="W660"/>
  <c r="W1068"/>
  <c r="W843"/>
  <c r="W684"/>
  <c r="W685"/>
  <c r="W693"/>
  <c r="W66"/>
  <c r="W965"/>
  <c r="W1003"/>
  <c r="W665"/>
  <c r="W998"/>
  <c r="W431"/>
  <c r="W839"/>
  <c r="W448"/>
  <c r="W411"/>
  <c r="W658"/>
  <c r="W439"/>
  <c r="W1077"/>
  <c r="W390"/>
  <c r="W680"/>
  <c r="W404"/>
  <c r="W48"/>
  <c r="W697"/>
  <c r="W659"/>
  <c r="W851"/>
  <c r="W361"/>
  <c r="W850"/>
  <c r="W956"/>
  <c r="W898"/>
  <c r="W701"/>
  <c r="W1154"/>
  <c r="W855"/>
  <c r="W1146"/>
  <c r="W737"/>
  <c r="W974"/>
  <c r="W1012"/>
  <c r="W1220"/>
  <c r="W393"/>
  <c r="W692"/>
  <c r="W882"/>
  <c r="W408"/>
  <c r="W441"/>
  <c r="W547"/>
  <c r="W1069"/>
  <c r="W1205"/>
  <c r="W1204" s="1"/>
  <c r="W1170"/>
  <c r="W1169" s="1"/>
  <c r="W56"/>
  <c r="W705"/>
  <c r="W873"/>
  <c r="W964"/>
  <c r="W44"/>
  <c r="W391"/>
  <c r="W1062"/>
  <c r="W1054"/>
  <c r="W958"/>
  <c r="W973"/>
  <c r="W686"/>
  <c r="W849"/>
  <c r="W1147"/>
  <c r="W1013"/>
  <c r="W440"/>
  <c r="W364"/>
  <c r="W40"/>
  <c r="W696"/>
  <c r="W318"/>
  <c r="W64"/>
  <c r="W881"/>
  <c r="W51"/>
  <c r="W848"/>
  <c r="W700"/>
  <c r="W1096"/>
  <c r="W1095" s="1"/>
  <c r="W972"/>
  <c r="W1046"/>
  <c r="W432"/>
  <c r="W681"/>
  <c r="W1076"/>
  <c r="W1006"/>
  <c r="W656"/>
  <c r="W872"/>
  <c r="W880"/>
  <c r="W1005"/>
  <c r="W1078"/>
  <c r="W1052"/>
  <c r="W847"/>
  <c r="W360"/>
  <c r="W703"/>
  <c r="W564"/>
  <c r="W699"/>
  <c r="W664"/>
  <c r="W1061"/>
  <c r="W689"/>
  <c r="W879"/>
  <c r="W702"/>
  <c r="W758"/>
  <c r="W757" s="1"/>
  <c r="W363"/>
  <c r="JL16" i="17"/>
  <c r="SP16"/>
  <c r="SB16"/>
  <c r="RN16"/>
  <c r="QZ16"/>
  <c r="QL16"/>
  <c r="PX16"/>
  <c r="PJ16"/>
  <c r="OV16"/>
  <c r="OH16"/>
  <c r="NT16"/>
  <c r="NF16"/>
  <c r="MR16"/>
  <c r="MD16"/>
  <c r="LP16"/>
  <c r="LB16"/>
  <c r="KN16"/>
  <c r="JZ16"/>
  <c r="IX16"/>
  <c r="IZ16" s="1"/>
  <c r="IJ16"/>
  <c r="HV16"/>
  <c r="HH16"/>
  <c r="GT16"/>
  <c r="GF16"/>
  <c r="FR16"/>
  <c r="FD16"/>
  <c r="EP16"/>
  <c r="EB16"/>
  <c r="DN16"/>
  <c r="CZ16"/>
  <c r="CL16"/>
  <c r="BX16"/>
  <c r="BJ16"/>
  <c r="AV16"/>
  <c r="F16"/>
  <c r="S759" i="6"/>
  <c r="D7" i="16" s="1"/>
  <c r="J7"/>
  <c r="IZ25" i="17"/>
  <c r="H64" i="9"/>
  <c r="H50"/>
  <c r="I7" i="16"/>
  <c r="IZ24" i="17"/>
  <c r="JK24"/>
  <c r="JN19"/>
  <c r="W42" i="16"/>
  <c r="IZ18" i="17"/>
  <c r="IW31"/>
  <c r="IW30"/>
  <c r="C133" i="16"/>
  <c r="M14"/>
  <c r="M42" s="1"/>
  <c r="R1275" i="6"/>
  <c r="X90"/>
  <c r="C91"/>
  <c r="AH16" i="17"/>
  <c r="AH19"/>
  <c r="T16"/>
  <c r="R6" i="5"/>
  <c r="TD16" i="17"/>
  <c r="F14" i="9"/>
  <c r="T19" i="17"/>
  <c r="TD19"/>
  <c r="I33" i="16"/>
  <c r="I15"/>
  <c r="I13"/>
  <c r="I26"/>
  <c r="I16"/>
  <c r="I36"/>
  <c r="I14"/>
  <c r="I21"/>
  <c r="I17"/>
  <c r="I38"/>
  <c r="I28"/>
  <c r="I5"/>
  <c r="I25"/>
  <c r="I29"/>
  <c r="I35"/>
  <c r="I37"/>
  <c r="I23"/>
  <c r="I18"/>
  <c r="I30"/>
  <c r="W161" i="6"/>
  <c r="W151"/>
  <c r="H61" i="9"/>
  <c r="H37"/>
  <c r="I11" i="16"/>
  <c r="H36" i="9"/>
  <c r="I10" i="16"/>
  <c r="H58" i="9"/>
  <c r="I32" i="16"/>
  <c r="H38" i="9"/>
  <c r="I12" i="16"/>
  <c r="H48" i="9"/>
  <c r="I22" i="16"/>
  <c r="H53" i="9"/>
  <c r="I27" i="16"/>
  <c r="I6"/>
  <c r="H46" i="9"/>
  <c r="I20" i="16"/>
  <c r="H60" i="9"/>
  <c r="I34" i="16"/>
  <c r="H57" i="9"/>
  <c r="I31" i="16"/>
  <c r="H45" i="9"/>
  <c r="I19" i="16"/>
  <c r="H85" i="10"/>
  <c r="X202" s="1"/>
  <c r="W145" i="6"/>
  <c r="W164"/>
  <c r="W121"/>
  <c r="W113"/>
  <c r="F84" i="10"/>
  <c r="J84" s="1"/>
  <c r="F22" i="9"/>
  <c r="H22" s="1"/>
  <c r="V14" i="5"/>
  <c r="R14"/>
  <c r="F20" i="9"/>
  <c r="H20" s="1"/>
  <c r="V12" i="5"/>
  <c r="R12"/>
  <c r="W107" i="6"/>
  <c r="W153"/>
  <c r="W160"/>
  <c r="W105"/>
  <c r="W157"/>
  <c r="W159"/>
  <c r="W115"/>
  <c r="W119"/>
  <c r="F17" i="9"/>
  <c r="I85" i="10"/>
  <c r="Y184" s="1"/>
  <c r="G85"/>
  <c r="W183" s="1"/>
  <c r="W114" i="6"/>
  <c r="W152"/>
  <c r="W106"/>
  <c r="W108"/>
  <c r="W118"/>
  <c r="W165"/>
  <c r="W150"/>
  <c r="W166"/>
  <c r="W104"/>
  <c r="W158"/>
  <c r="W110"/>
  <c r="W109"/>
  <c r="W163"/>
  <c r="W149"/>
  <c r="W117"/>
  <c r="W155"/>
  <c r="H41" i="16"/>
  <c r="W116" i="6"/>
  <c r="W162"/>
  <c r="W154"/>
  <c r="W146"/>
  <c r="W111"/>
  <c r="W120"/>
  <c r="W112"/>
  <c r="W148"/>
  <c r="W147"/>
  <c r="W156"/>
  <c r="R9" i="5"/>
  <c r="O10"/>
  <c r="Q10"/>
  <c r="Z195" i="10"/>
  <c r="Z181"/>
  <c r="Z196"/>
  <c r="Z211"/>
  <c r="Z203"/>
  <c r="Z189"/>
  <c r="Z188"/>
  <c r="Z202"/>
  <c r="Z186"/>
  <c r="Z206"/>
  <c r="Z183"/>
  <c r="Z192"/>
  <c r="Z193"/>
  <c r="Z207"/>
  <c r="Z204"/>
  <c r="Z190"/>
  <c r="Z200"/>
  <c r="Z208"/>
  <c r="Z187"/>
  <c r="Z198"/>
  <c r="Z214"/>
  <c r="Z191"/>
  <c r="Z205"/>
  <c r="Z212"/>
  <c r="Z209"/>
  <c r="Z199"/>
  <c r="Z197"/>
  <c r="Z184"/>
  <c r="Z210"/>
  <c r="Z194"/>
  <c r="Z182"/>
  <c r="Z213"/>
  <c r="Z185"/>
  <c r="Z201"/>
  <c r="H59" i="9"/>
  <c r="H44"/>
  <c r="H47"/>
  <c r="H51"/>
  <c r="H43"/>
  <c r="H52"/>
  <c r="H55"/>
  <c r="H41"/>
  <c r="H56"/>
  <c r="H35"/>
  <c r="H42"/>
  <c r="H40"/>
  <c r="H62"/>
  <c r="H49"/>
  <c r="H54"/>
  <c r="H39"/>
  <c r="R11" i="5"/>
  <c r="V11"/>
  <c r="OJ32" i="17" l="1"/>
  <c r="W317" i="6"/>
  <c r="W897"/>
  <c r="W1233"/>
  <c r="H39" i="16" s="1"/>
  <c r="OR71" i="17"/>
  <c r="PF13"/>
  <c r="OS13"/>
  <c r="OS71" s="1"/>
  <c r="OU32"/>
  <c r="OX32" s="1"/>
  <c r="OX66"/>
  <c r="OU33"/>
  <c r="OT19"/>
  <c r="OU24" s="1"/>
  <c r="OX24"/>
  <c r="W582" i="6"/>
  <c r="W871"/>
  <c r="W358"/>
  <c r="W679"/>
  <c r="W430"/>
  <c r="W1119"/>
  <c r="W2"/>
  <c r="W759"/>
  <c r="H7" i="16" s="1"/>
  <c r="W1185" i="6"/>
  <c r="H36" i="16" s="1"/>
  <c r="W379" i="6"/>
  <c r="W238"/>
  <c r="W993"/>
  <c r="W618"/>
  <c r="W1038"/>
  <c r="W464"/>
  <c r="W1246"/>
  <c r="AH20" i="17"/>
  <c r="JL20"/>
  <c r="SP20"/>
  <c r="SB20"/>
  <c r="RN20"/>
  <c r="QZ20"/>
  <c r="QL20"/>
  <c r="PX20"/>
  <c r="PJ20"/>
  <c r="OV20"/>
  <c r="OH20"/>
  <c r="NT20"/>
  <c r="NF20"/>
  <c r="MR20"/>
  <c r="MD20"/>
  <c r="LP20"/>
  <c r="LB20"/>
  <c r="KN20"/>
  <c r="JZ20"/>
  <c r="IX20"/>
  <c r="IZ20" s="1"/>
  <c r="IJ20"/>
  <c r="HV20"/>
  <c r="HH20"/>
  <c r="GT20"/>
  <c r="GF20"/>
  <c r="FR20"/>
  <c r="FD20"/>
  <c r="EP20"/>
  <c r="EB20"/>
  <c r="DN20"/>
  <c r="CZ20"/>
  <c r="CL20"/>
  <c r="BX20"/>
  <c r="BJ20"/>
  <c r="AV20"/>
  <c r="F20"/>
  <c r="U759" i="6"/>
  <c r="F7" i="16" s="1"/>
  <c r="W1145" i="6"/>
  <c r="W838"/>
  <c r="W919"/>
  <c r="W725"/>
  <c r="W953"/>
  <c r="W1218"/>
  <c r="H38" i="16" s="1"/>
  <c r="W654" i="6"/>
  <c r="W504"/>
  <c r="I24" i="16"/>
  <c r="IZ30" i="17"/>
  <c r="JN24"/>
  <c r="IZ26"/>
  <c r="IT75" s="1"/>
  <c r="IZ31"/>
  <c r="IW34"/>
  <c r="IZ21"/>
  <c r="W103" i="6"/>
  <c r="W144"/>
  <c r="X91"/>
  <c r="C92"/>
  <c r="X211" i="10"/>
  <c r="X185"/>
  <c r="X193"/>
  <c r="X206"/>
  <c r="X189"/>
  <c r="X198"/>
  <c r="Q22" i="5"/>
  <c r="R22" s="1"/>
  <c r="T20" i="17"/>
  <c r="TD20"/>
  <c r="X195" i="10"/>
  <c r="X182"/>
  <c r="X210"/>
  <c r="X196"/>
  <c r="X203"/>
  <c r="X214"/>
  <c r="X213"/>
  <c r="X183"/>
  <c r="X200"/>
  <c r="X186"/>
  <c r="X208"/>
  <c r="X188"/>
  <c r="X209"/>
  <c r="X199"/>
  <c r="X187"/>
  <c r="X192"/>
  <c r="X205"/>
  <c r="X204"/>
  <c r="X181"/>
  <c r="X190"/>
  <c r="H84"/>
  <c r="H88" s="1"/>
  <c r="X197"/>
  <c r="X207"/>
  <c r="X184"/>
  <c r="X212"/>
  <c r="I84"/>
  <c r="I111" s="1"/>
  <c r="G84"/>
  <c r="X194"/>
  <c r="X201"/>
  <c r="X191"/>
  <c r="W181"/>
  <c r="W202"/>
  <c r="W186"/>
  <c r="W211"/>
  <c r="W195"/>
  <c r="Y206"/>
  <c r="Y212"/>
  <c r="Y196"/>
  <c r="Y188"/>
  <c r="Y211"/>
  <c r="Y203"/>
  <c r="Y195"/>
  <c r="Y187"/>
  <c r="W203"/>
  <c r="W210"/>
  <c r="W194"/>
  <c r="W189"/>
  <c r="W207"/>
  <c r="W199"/>
  <c r="W214"/>
  <c r="W206"/>
  <c r="W198"/>
  <c r="W190"/>
  <c r="W182"/>
  <c r="W185"/>
  <c r="Y214"/>
  <c r="Y200"/>
  <c r="Y192"/>
  <c r="Y182"/>
  <c r="Y207"/>
  <c r="Y199"/>
  <c r="Y191"/>
  <c r="Y183"/>
  <c r="Y202"/>
  <c r="H40" i="16"/>
  <c r="Y210" i="10"/>
  <c r="Y204"/>
  <c r="Y198"/>
  <c r="Y194"/>
  <c r="Y190"/>
  <c r="Y186"/>
  <c r="Y213"/>
  <c r="Y209"/>
  <c r="Y205"/>
  <c r="Y201"/>
  <c r="Y197"/>
  <c r="Y193"/>
  <c r="Y189"/>
  <c r="Y185"/>
  <c r="Y181"/>
  <c r="Y208"/>
  <c r="W213"/>
  <c r="W209"/>
  <c r="W205"/>
  <c r="W201"/>
  <c r="W197"/>
  <c r="W193"/>
  <c r="W212"/>
  <c r="W208"/>
  <c r="W204"/>
  <c r="W200"/>
  <c r="W196"/>
  <c r="W192"/>
  <c r="W188"/>
  <c r="W184"/>
  <c r="W191"/>
  <c r="W187"/>
  <c r="H37" i="16"/>
  <c r="H4"/>
  <c r="R10" i="5"/>
  <c r="F18" i="9"/>
  <c r="J120" i="10"/>
  <c r="J103"/>
  <c r="J95"/>
  <c r="J107"/>
  <c r="J94"/>
  <c r="J102"/>
  <c r="J110"/>
  <c r="J118"/>
  <c r="J93"/>
  <c r="J101"/>
  <c r="J109"/>
  <c r="J117"/>
  <c r="J115"/>
  <c r="J88"/>
  <c r="J96"/>
  <c r="J104"/>
  <c r="J112"/>
  <c r="J99"/>
  <c r="J91"/>
  <c r="J90"/>
  <c r="J98"/>
  <c r="J106"/>
  <c r="J114"/>
  <c r="J89"/>
  <c r="J97"/>
  <c r="J105"/>
  <c r="J113"/>
  <c r="J111"/>
  <c r="J119"/>
  <c r="J92"/>
  <c r="J100"/>
  <c r="J108"/>
  <c r="J116"/>
  <c r="Z215"/>
  <c r="AE759" i="6" l="1"/>
  <c r="OX33" i="17"/>
  <c r="PF71"/>
  <c r="PT13"/>
  <c r="PG13"/>
  <c r="PG71" s="1"/>
  <c r="PI33"/>
  <c r="PL33" s="1"/>
  <c r="PL66"/>
  <c r="PI32"/>
  <c r="PL32" s="1"/>
  <c r="PH19"/>
  <c r="PL24"/>
  <c r="OX19"/>
  <c r="IT74"/>
  <c r="IZ34"/>
  <c r="IZ35" s="1"/>
  <c r="IT76" s="1"/>
  <c r="W1275" i="6"/>
  <c r="AF759"/>
  <c r="C93"/>
  <c r="X92"/>
  <c r="H13" i="16"/>
  <c r="H21"/>
  <c r="H29"/>
  <c r="H22"/>
  <c r="H26"/>
  <c r="H35"/>
  <c r="H31"/>
  <c r="H14"/>
  <c r="H10"/>
  <c r="H15"/>
  <c r="H16"/>
  <c r="H32"/>
  <c r="H34"/>
  <c r="H12"/>
  <c r="H17"/>
  <c r="H25"/>
  <c r="H18"/>
  <c r="H5"/>
  <c r="H9" s="1"/>
  <c r="H30"/>
  <c r="H27"/>
  <c r="H33"/>
  <c r="H11"/>
  <c r="H23"/>
  <c r="H6"/>
  <c r="H24" s="1"/>
  <c r="H20"/>
  <c r="H28"/>
  <c r="H19"/>
  <c r="H99" i="10"/>
  <c r="H111"/>
  <c r="H113"/>
  <c r="H108"/>
  <c r="H94"/>
  <c r="H115"/>
  <c r="H93"/>
  <c r="H110"/>
  <c r="H95"/>
  <c r="H91"/>
  <c r="H92"/>
  <c r="H103"/>
  <c r="H112"/>
  <c r="I89"/>
  <c r="I118"/>
  <c r="I108"/>
  <c r="I99"/>
  <c r="I114"/>
  <c r="I116"/>
  <c r="I93"/>
  <c r="H97"/>
  <c r="H119"/>
  <c r="H114"/>
  <c r="I94"/>
  <c r="I91"/>
  <c r="I107"/>
  <c r="I105"/>
  <c r="I95"/>
  <c r="I90"/>
  <c r="H96"/>
  <c r="I109"/>
  <c r="I88"/>
  <c r="I102"/>
  <c r="I115"/>
  <c r="I101"/>
  <c r="H107"/>
  <c r="I96"/>
  <c r="I106"/>
  <c r="I117"/>
  <c r="I98"/>
  <c r="H109"/>
  <c r="H98"/>
  <c r="I104"/>
  <c r="I119"/>
  <c r="I92"/>
  <c r="I113"/>
  <c r="I110"/>
  <c r="I120"/>
  <c r="I112"/>
  <c r="I97"/>
  <c r="I103"/>
  <c r="I100"/>
  <c r="X215"/>
  <c r="H100"/>
  <c r="H116"/>
  <c r="H101"/>
  <c r="H117"/>
  <c r="H102"/>
  <c r="H118"/>
  <c r="H104"/>
  <c r="H120"/>
  <c r="H89"/>
  <c r="H105"/>
  <c r="H90"/>
  <c r="H106"/>
  <c r="Y215"/>
  <c r="W215"/>
  <c r="E36" i="9"/>
  <c r="G36" s="1"/>
  <c r="E35"/>
  <c r="G35" s="1"/>
  <c r="F897" i="6"/>
  <c r="F679"/>
  <c r="F464"/>
  <c r="F379"/>
  <c r="F317"/>
  <c r="F993"/>
  <c r="F919"/>
  <c r="F953"/>
  <c r="F430"/>
  <c r="F838"/>
  <c r="F582"/>
  <c r="F725"/>
  <c r="F358"/>
  <c r="F871"/>
  <c r="PI24" i="17" l="1"/>
  <c r="PL19"/>
  <c r="PT71"/>
  <c r="QH13"/>
  <c r="PU13"/>
  <c r="PU71" s="1"/>
  <c r="PZ66"/>
  <c r="PW33"/>
  <c r="PZ33" s="1"/>
  <c r="PV19"/>
  <c r="PW32"/>
  <c r="PZ24"/>
  <c r="F1275" i="6"/>
  <c r="IZ37" i="17"/>
  <c r="AG759" i="6"/>
  <c r="AH759" s="1"/>
  <c r="Q7" i="16" s="1"/>
  <c r="P7"/>
  <c r="H42"/>
  <c r="C94" i="6"/>
  <c r="X93"/>
  <c r="P1185"/>
  <c r="PV20" i="17" s="1"/>
  <c r="PZ20" s="1"/>
  <c r="N1185" i="6"/>
  <c r="PV16" i="17" s="1"/>
  <c r="O1185" i="6"/>
  <c r="PV17" i="17" s="1"/>
  <c r="PZ17" s="1"/>
  <c r="O1119" i="6"/>
  <c r="OF17" i="17" s="1"/>
  <c r="OJ17" s="1"/>
  <c r="P1119" i="6"/>
  <c r="OF20" i="17" s="1"/>
  <c r="OJ20" s="1"/>
  <c r="N1119" i="6"/>
  <c r="OF16" i="17" s="1"/>
  <c r="P1145" i="6"/>
  <c r="OT20" i="17" s="1"/>
  <c r="OX20" s="1"/>
  <c r="N1145" i="6"/>
  <c r="OT16" i="17" s="1"/>
  <c r="O1145" i="6"/>
  <c r="OT17" i="17" s="1"/>
  <c r="OX17" s="1"/>
  <c r="O582" i="6"/>
  <c r="FP17" i="17" s="1"/>
  <c r="FT17" s="1"/>
  <c r="P582" i="6"/>
  <c r="FP20" i="17" s="1"/>
  <c r="FT20" s="1"/>
  <c r="N582" i="6"/>
  <c r="FP16" i="17" s="1"/>
  <c r="P1218" i="6"/>
  <c r="N1218"/>
  <c r="O1218"/>
  <c r="P1095"/>
  <c r="NR20" i="17" s="1"/>
  <c r="NV20" s="1"/>
  <c r="N1095" i="6"/>
  <c r="NR16" i="17" s="1"/>
  <c r="O1095" i="6"/>
  <c r="NR17" i="17" s="1"/>
  <c r="NV17" s="1"/>
  <c r="O897" i="6"/>
  <c r="KZ17" i="17" s="1"/>
  <c r="LD17" s="1"/>
  <c r="P897" i="6"/>
  <c r="KZ20" i="17" s="1"/>
  <c r="LD20" s="1"/>
  <c r="N897" i="6"/>
  <c r="KZ16" i="17" s="1"/>
  <c r="O654" i="6"/>
  <c r="GR17" i="17" s="1"/>
  <c r="GV17" s="1"/>
  <c r="P654" i="6"/>
  <c r="GR20" i="17" s="1"/>
  <c r="GV20" s="1"/>
  <c r="N654" i="6"/>
  <c r="GR16" i="17" s="1"/>
  <c r="P871" i="6"/>
  <c r="KL20" i="17" s="1"/>
  <c r="KP20" s="1"/>
  <c r="N871" i="6"/>
  <c r="KL16" i="17" s="1"/>
  <c r="O871" i="6"/>
  <c r="KL17" i="17" s="1"/>
  <c r="KP17" s="1"/>
  <c r="O725" i="6"/>
  <c r="HT17" i="17" s="1"/>
  <c r="HX17" s="1"/>
  <c r="P725" i="6"/>
  <c r="HT20" i="17" s="1"/>
  <c r="HX20" s="1"/>
  <c r="N725" i="6"/>
  <c r="HT16" i="17" s="1"/>
  <c r="O103" i="6"/>
  <c r="P103"/>
  <c r="N103"/>
  <c r="R16" i="17" s="1"/>
  <c r="O838" i="6"/>
  <c r="JX17" i="17" s="1"/>
  <c r="KB17" s="1"/>
  <c r="P838" i="6"/>
  <c r="JX20" i="17" s="1"/>
  <c r="KB20" s="1"/>
  <c r="N838" i="6"/>
  <c r="JX16" i="17" s="1"/>
  <c r="P144" i="6"/>
  <c r="AT20" i="17" s="1"/>
  <c r="AX20" s="1"/>
  <c r="N144" i="6"/>
  <c r="AT16" i="17" s="1"/>
  <c r="O144" i="6"/>
  <c r="AT17" i="17" s="1"/>
  <c r="AX17" s="1"/>
  <c r="P919" i="6"/>
  <c r="LN20" i="17" s="1"/>
  <c r="LR20" s="1"/>
  <c r="N919" i="6"/>
  <c r="LN16" i="17" s="1"/>
  <c r="O919" i="6"/>
  <c r="LN17" i="17" s="1"/>
  <c r="LR17" s="1"/>
  <c r="P238" i="6"/>
  <c r="BV20" i="17" s="1"/>
  <c r="BZ20" s="1"/>
  <c r="N238" i="6"/>
  <c r="BV16" i="17" s="1"/>
  <c r="O238" i="6"/>
  <c r="BV17" i="17" s="1"/>
  <c r="BZ17" s="1"/>
  <c r="O379" i="6"/>
  <c r="DL17" i="17" s="1"/>
  <c r="DP17" s="1"/>
  <c r="P379" i="6"/>
  <c r="DL20" i="17" s="1"/>
  <c r="DP20" s="1"/>
  <c r="N379" i="6"/>
  <c r="DL16" i="17" s="1"/>
  <c r="O185" i="6"/>
  <c r="BH17" i="17" s="1"/>
  <c r="BL17" s="1"/>
  <c r="P185" i="6"/>
  <c r="BH20" i="17" s="1"/>
  <c r="BL20" s="1"/>
  <c r="N185" i="6"/>
  <c r="BH16" i="17" s="1"/>
  <c r="P679" i="6"/>
  <c r="HF20" i="17" s="1"/>
  <c r="HJ20" s="1"/>
  <c r="N679" i="6"/>
  <c r="HF16" i="17" s="1"/>
  <c r="O679" i="6"/>
  <c r="HF17" i="17" s="1"/>
  <c r="HJ17" s="1"/>
  <c r="T1263" i="6"/>
  <c r="E41" i="16" s="1"/>
  <c r="U1263" i="6"/>
  <c r="F41" i="16" s="1"/>
  <c r="O1233" i="6"/>
  <c r="P1233"/>
  <c r="N1233"/>
  <c r="O1204"/>
  <c r="QJ17" i="17" s="1"/>
  <c r="QN17" s="1"/>
  <c r="P1204" i="6"/>
  <c r="QJ20" i="17" s="1"/>
  <c r="QN20" s="1"/>
  <c r="N1204" i="6"/>
  <c r="QJ16" i="17" s="1"/>
  <c r="O1169" i="6"/>
  <c r="PH17" i="17" s="1"/>
  <c r="PL17" s="1"/>
  <c r="P1169" i="6"/>
  <c r="PH20" i="17" s="1"/>
  <c r="PL20" s="1"/>
  <c r="N1169" i="6"/>
  <c r="PH16" i="17" s="1"/>
  <c r="P358" i="6"/>
  <c r="CX20" i="17" s="1"/>
  <c r="DB20" s="1"/>
  <c r="N358" i="6"/>
  <c r="CX16" i="17" s="1"/>
  <c r="O358" i="6"/>
  <c r="CX17" i="17" s="1"/>
  <c r="DB17" s="1"/>
  <c r="P618" i="6"/>
  <c r="GD20" i="17" s="1"/>
  <c r="GH20" s="1"/>
  <c r="N618" i="6"/>
  <c r="GD16" i="17" s="1"/>
  <c r="O618" i="6"/>
  <c r="GD17" i="17" s="1"/>
  <c r="GH17" s="1"/>
  <c r="P430" i="6"/>
  <c r="DZ20" i="17" s="1"/>
  <c r="ED20" s="1"/>
  <c r="N430" i="6"/>
  <c r="DZ16" i="17" s="1"/>
  <c r="O430" i="6"/>
  <c r="DZ17" i="17" s="1"/>
  <c r="ED17" s="1"/>
  <c r="O953" i="6"/>
  <c r="MB17" i="17" s="1"/>
  <c r="MF17" s="1"/>
  <c r="P953" i="6"/>
  <c r="MB20" i="17" s="1"/>
  <c r="MF20" s="1"/>
  <c r="N953" i="6"/>
  <c r="MB16" i="17" s="1"/>
  <c r="P993" i="6"/>
  <c r="MP20" i="17" s="1"/>
  <c r="MT20" s="1"/>
  <c r="N993" i="6"/>
  <c r="MP16" i="17" s="1"/>
  <c r="O993" i="6"/>
  <c r="MP17" i="17" s="1"/>
  <c r="MT17" s="1"/>
  <c r="O317" i="6"/>
  <c r="CJ17" i="17" s="1"/>
  <c r="CN17" s="1"/>
  <c r="P317" i="6"/>
  <c r="CJ20" i="17" s="1"/>
  <c r="CN20" s="1"/>
  <c r="N317" i="6"/>
  <c r="CJ16" i="17" s="1"/>
  <c r="O464" i="6"/>
  <c r="EN17" i="17" s="1"/>
  <c r="ER17" s="1"/>
  <c r="P464" i="6"/>
  <c r="EN20" i="17" s="1"/>
  <c r="ER20" s="1"/>
  <c r="N464" i="6"/>
  <c r="EN16" i="17" s="1"/>
  <c r="P504" i="6"/>
  <c r="FB20" i="17" s="1"/>
  <c r="FF20" s="1"/>
  <c r="N504" i="6"/>
  <c r="FB16" i="17" s="1"/>
  <c r="O504" i="6"/>
  <c r="FB17" i="17" s="1"/>
  <c r="FF17" s="1"/>
  <c r="O1038" i="6"/>
  <c r="ND17" i="17" s="1"/>
  <c r="NH17" s="1"/>
  <c r="P1038" i="6"/>
  <c r="ND20" i="17" s="1"/>
  <c r="NH20" s="1"/>
  <c r="N1038" i="6"/>
  <c r="ND16" i="17" s="1"/>
  <c r="P757" i="6"/>
  <c r="IH20" i="17" s="1"/>
  <c r="N757" i="6"/>
  <c r="IH16" i="17" s="1"/>
  <c r="O757" i="6"/>
  <c r="IH17" i="17" s="1"/>
  <c r="P1246" i="6"/>
  <c r="N1246"/>
  <c r="O1246"/>
  <c r="Q654"/>
  <c r="GR18" i="17" s="1"/>
  <c r="GV18" s="1"/>
  <c r="E47" i="9"/>
  <c r="G47" s="1"/>
  <c r="Q871" i="6"/>
  <c r="KL18" i="17" s="1"/>
  <c r="KP18" s="1"/>
  <c r="E52" i="9"/>
  <c r="G52" s="1"/>
  <c r="Q725" i="6"/>
  <c r="HT18" i="17" s="1"/>
  <c r="HX18" s="1"/>
  <c r="E49" i="9"/>
  <c r="G49" s="1"/>
  <c r="Q838" i="6"/>
  <c r="JX18" i="17" s="1"/>
  <c r="KB18" s="1"/>
  <c r="E51" i="9"/>
  <c r="G51" s="1"/>
  <c r="Q919" i="6"/>
  <c r="LN18" i="17" s="1"/>
  <c r="LR18" s="1"/>
  <c r="E54" i="9"/>
  <c r="G54" s="1"/>
  <c r="Q238" i="6"/>
  <c r="BV18" i="17" s="1"/>
  <c r="BZ18" s="1"/>
  <c r="E38" i="9"/>
  <c r="G38" s="1"/>
  <c r="Q379" i="6"/>
  <c r="DL18" i="17" s="1"/>
  <c r="DP18" s="1"/>
  <c r="E41" i="9"/>
  <c r="G41" s="1"/>
  <c r="Q185" i="6"/>
  <c r="BH18" i="17" s="1"/>
  <c r="BL18" s="1"/>
  <c r="E37" i="9"/>
  <c r="G37" s="1"/>
  <c r="Q679" i="6"/>
  <c r="HF18" i="17" s="1"/>
  <c r="HJ18" s="1"/>
  <c r="E48" i="9"/>
  <c r="G48" s="1"/>
  <c r="Q1263" i="6"/>
  <c r="E67" i="9"/>
  <c r="G67" s="1"/>
  <c r="Q1218" i="6"/>
  <c r="E64" i="9"/>
  <c r="G64" s="1"/>
  <c r="Q1095" i="6"/>
  <c r="NR18" i="17" s="1"/>
  <c r="NV18" s="1"/>
  <c r="E58" i="9"/>
  <c r="G58" s="1"/>
  <c r="Q1233" i="6"/>
  <c r="E65" i="9"/>
  <c r="G65" s="1"/>
  <c r="Q1119" i="6"/>
  <c r="OF18" i="17" s="1"/>
  <c r="OJ18" s="1"/>
  <c r="E59" i="9"/>
  <c r="G59" s="1"/>
  <c r="Q1145" i="6"/>
  <c r="OT18" i="17" s="1"/>
  <c r="OX18" s="1"/>
  <c r="E60" i="9"/>
  <c r="G60" s="1"/>
  <c r="Q358" i="6"/>
  <c r="CX18" i="17" s="1"/>
  <c r="DB18" s="1"/>
  <c r="E40" i="9"/>
  <c r="G40" s="1"/>
  <c r="Q582" i="6"/>
  <c r="FP18" i="17" s="1"/>
  <c r="FT18" s="1"/>
  <c r="E45" i="9"/>
  <c r="G45" s="1"/>
  <c r="Q618" i="6"/>
  <c r="GD18" i="17" s="1"/>
  <c r="GH18" s="1"/>
  <c r="E46" i="9"/>
  <c r="G46" s="1"/>
  <c r="Q430" i="6"/>
  <c r="DZ18" i="17" s="1"/>
  <c r="ED18" s="1"/>
  <c r="E42" i="9"/>
  <c r="G42" s="1"/>
  <c r="Q953" i="6"/>
  <c r="MB18" i="17" s="1"/>
  <c r="MF18" s="1"/>
  <c r="E55" i="9"/>
  <c r="G55" s="1"/>
  <c r="Q993" i="6"/>
  <c r="MP18" i="17" s="1"/>
  <c r="MT18" s="1"/>
  <c r="E56" i="9"/>
  <c r="G56" s="1"/>
  <c r="Q317" i="6"/>
  <c r="CJ18" i="17" s="1"/>
  <c r="CN18" s="1"/>
  <c r="E39" i="9"/>
  <c r="G39" s="1"/>
  <c r="Q464" i="6"/>
  <c r="EN18" i="17" s="1"/>
  <c r="ER18" s="1"/>
  <c r="E43" i="9"/>
  <c r="G43" s="1"/>
  <c r="Q504" i="6"/>
  <c r="FB18" i="17" s="1"/>
  <c r="FF18" s="1"/>
  <c r="E44" i="9"/>
  <c r="G44" s="1"/>
  <c r="Q1038" i="6"/>
  <c r="ND18" i="17" s="1"/>
  <c r="NH18" s="1"/>
  <c r="E57" i="9"/>
  <c r="G57" s="1"/>
  <c r="Q757" i="6"/>
  <c r="IH18" i="17" s="1"/>
  <c r="G50" i="9"/>
  <c r="Q897" i="6"/>
  <c r="KZ18" i="17" s="1"/>
  <c r="LD18" s="1"/>
  <c r="E53" i="9"/>
  <c r="G53" s="1"/>
  <c r="Q1246" i="6"/>
  <c r="E66" i="9"/>
  <c r="G66" s="1"/>
  <c r="Q1185" i="6"/>
  <c r="PV18" i="17" s="1"/>
  <c r="PZ18" s="1"/>
  <c r="E62" i="9"/>
  <c r="G62" s="1"/>
  <c r="Q1169" i="6"/>
  <c r="PH18" i="17" s="1"/>
  <c r="PL18" s="1"/>
  <c r="E61" i="9"/>
  <c r="G61" s="1"/>
  <c r="Q1204" i="6"/>
  <c r="QJ18" i="17" s="1"/>
  <c r="QN18" s="1"/>
  <c r="E63" i="9"/>
  <c r="G63" s="1"/>
  <c r="Q2" i="6"/>
  <c r="D18" i="17" s="1"/>
  <c r="H18" s="1"/>
  <c r="Q144" i="6"/>
  <c r="AT18" i="17" s="1"/>
  <c r="AX18" s="1"/>
  <c r="U1185" i="6"/>
  <c r="F36" i="16" s="1"/>
  <c r="Q103" i="6"/>
  <c r="O2"/>
  <c r="D17" i="17" s="1"/>
  <c r="H17" s="1"/>
  <c r="P2" i="6"/>
  <c r="D20" i="17" s="1"/>
  <c r="H20" s="1"/>
  <c r="N2" i="6"/>
  <c r="D16" i="17" s="1"/>
  <c r="E110" i="9"/>
  <c r="H110" s="1"/>
  <c r="E33" l="1"/>
  <c r="PZ32" i="17"/>
  <c r="PW24"/>
  <c r="PZ19"/>
  <c r="QH71"/>
  <c r="QI13"/>
  <c r="QI71" s="1"/>
  <c r="QV13"/>
  <c r="QX16" s="1"/>
  <c r="QK33"/>
  <c r="QN33" s="1"/>
  <c r="QN66"/>
  <c r="QK32"/>
  <c r="QN32" s="1"/>
  <c r="QJ19"/>
  <c r="QN24"/>
  <c r="V1246" i="6"/>
  <c r="G40" i="16" s="1"/>
  <c r="V1218" i="6"/>
  <c r="G38" i="16" s="1"/>
  <c r="QX18" i="17"/>
  <c r="RB18" s="1"/>
  <c r="V1263" i="6"/>
  <c r="G41" i="16" s="1"/>
  <c r="IL17" i="17"/>
  <c r="JJ17"/>
  <c r="JN17" s="1"/>
  <c r="IL20"/>
  <c r="JJ20"/>
  <c r="JN20" s="1"/>
  <c r="CK31"/>
  <c r="CN16"/>
  <c r="CK30"/>
  <c r="CN30" s="1"/>
  <c r="MQ31"/>
  <c r="MT16"/>
  <c r="MQ30"/>
  <c r="MT30" s="1"/>
  <c r="MC30"/>
  <c r="MF30" s="1"/>
  <c r="MC31"/>
  <c r="MF16"/>
  <c r="EA30"/>
  <c r="ED30" s="1"/>
  <c r="EA31"/>
  <c r="ED16"/>
  <c r="CY30"/>
  <c r="DB30" s="1"/>
  <c r="CY31"/>
  <c r="DB16"/>
  <c r="PI31"/>
  <c r="PL16"/>
  <c r="PI30"/>
  <c r="PL30" s="1"/>
  <c r="HG31"/>
  <c r="HJ16"/>
  <c r="HG30"/>
  <c r="HJ30" s="1"/>
  <c r="BI31"/>
  <c r="BL16"/>
  <c r="BI30"/>
  <c r="BL30" s="1"/>
  <c r="LO31"/>
  <c r="LR16"/>
  <c r="LO30"/>
  <c r="LR30" s="1"/>
  <c r="LA30"/>
  <c r="LD30" s="1"/>
  <c r="LA31"/>
  <c r="LD16"/>
  <c r="NS31"/>
  <c r="NV16"/>
  <c r="NS30"/>
  <c r="NV30" s="1"/>
  <c r="T1218" i="6"/>
  <c r="E38" i="16" s="1"/>
  <c r="QX17" i="17"/>
  <c r="RB17" s="1"/>
  <c r="IL18"/>
  <c r="JJ18"/>
  <c r="JN18" s="1"/>
  <c r="V1233" i="6"/>
  <c r="G39" i="16" s="1"/>
  <c r="H16" i="17"/>
  <c r="E31"/>
  <c r="E30"/>
  <c r="H30" s="1"/>
  <c r="T1246" i="6"/>
  <c r="E40" i="16" s="1"/>
  <c r="U1246" i="6"/>
  <c r="F40" i="16" s="1"/>
  <c r="II30" i="17"/>
  <c r="II31"/>
  <c r="IL16"/>
  <c r="JJ16"/>
  <c r="JN16" s="1"/>
  <c r="NE30"/>
  <c r="NH30" s="1"/>
  <c r="NE31"/>
  <c r="NH16"/>
  <c r="FC30"/>
  <c r="FF30" s="1"/>
  <c r="FC31"/>
  <c r="FF16"/>
  <c r="EO30"/>
  <c r="ER30" s="1"/>
  <c r="EO31"/>
  <c r="ER16"/>
  <c r="GE31"/>
  <c r="GH16"/>
  <c r="GE30"/>
  <c r="GH30" s="1"/>
  <c r="QK31"/>
  <c r="QN16"/>
  <c r="QK30"/>
  <c r="QN30" s="1"/>
  <c r="U1233" i="6"/>
  <c r="F39" i="16" s="1"/>
  <c r="DM30" i="17"/>
  <c r="DP30" s="1"/>
  <c r="DM31"/>
  <c r="DP16"/>
  <c r="BW30"/>
  <c r="BZ30" s="1"/>
  <c r="BW31"/>
  <c r="BZ16"/>
  <c r="AX16"/>
  <c r="AU31"/>
  <c r="AU30"/>
  <c r="AX30" s="1"/>
  <c r="JY30"/>
  <c r="KB30" s="1"/>
  <c r="JY31"/>
  <c r="KB16"/>
  <c r="HU31"/>
  <c r="HX16"/>
  <c r="HU30"/>
  <c r="HX30" s="1"/>
  <c r="KM31"/>
  <c r="KP16"/>
  <c r="KM30"/>
  <c r="KP30" s="1"/>
  <c r="GS30"/>
  <c r="GV30" s="1"/>
  <c r="GS31"/>
  <c r="GV16"/>
  <c r="FQ31"/>
  <c r="FT16"/>
  <c r="FQ30"/>
  <c r="FT30" s="1"/>
  <c r="OU30"/>
  <c r="OX30" s="1"/>
  <c r="OU31"/>
  <c r="OX16"/>
  <c r="OG31"/>
  <c r="OJ16"/>
  <c r="OG30"/>
  <c r="OJ30" s="1"/>
  <c r="PW31"/>
  <c r="PZ16"/>
  <c r="PW30"/>
  <c r="PZ30" s="1"/>
  <c r="IZ40"/>
  <c r="X94" i="6"/>
  <c r="C95"/>
  <c r="Q1275"/>
  <c r="P1275"/>
  <c r="N1275"/>
  <c r="O1275"/>
  <c r="R19" i="17"/>
  <c r="R20"/>
  <c r="T1204" i="6"/>
  <c r="E37" i="16" s="1"/>
  <c r="U1218" i="6"/>
  <c r="F38" i="16" s="1"/>
  <c r="AF16" i="17"/>
  <c r="AJ16" s="1"/>
  <c r="T871" i="6"/>
  <c r="E26" i="16" s="1"/>
  <c r="U582" i="6"/>
  <c r="F19" i="16" s="1"/>
  <c r="V1185" i="6"/>
  <c r="V654"/>
  <c r="V1169"/>
  <c r="V757"/>
  <c r="V317"/>
  <c r="V618"/>
  <c r="V1119"/>
  <c r="V238"/>
  <c r="T464"/>
  <c r="E17" i="16" s="1"/>
  <c r="U953" i="6"/>
  <c r="F29" i="16" s="1"/>
  <c r="T358" i="6"/>
  <c r="E14" i="16" s="1"/>
  <c r="T238" i="6"/>
  <c r="E12" i="16" s="1"/>
  <c r="U144" i="6"/>
  <c r="F10" i="16" s="1"/>
  <c r="U725" i="6"/>
  <c r="F23" i="16" s="1"/>
  <c r="U1119" i="6"/>
  <c r="F33" i="16" s="1"/>
  <c r="V679" i="6"/>
  <c r="U897"/>
  <c r="F27" i="16" s="1"/>
  <c r="V582" i="6"/>
  <c r="U679"/>
  <c r="F22" i="16" s="1"/>
  <c r="T1038" i="6"/>
  <c r="E31" i="16" s="1"/>
  <c r="T430" i="6"/>
  <c r="E16" i="16" s="1"/>
  <c r="U358" i="6"/>
  <c r="F14" i="16" s="1"/>
  <c r="U238" i="6"/>
  <c r="F12" i="16" s="1"/>
  <c r="U838" i="6"/>
  <c r="F25" i="16" s="1"/>
  <c r="T897" i="6"/>
  <c r="E27" i="16" s="1"/>
  <c r="T1185" i="6"/>
  <c r="E36" i="16" s="1"/>
  <c r="V103" i="6"/>
  <c r="R18" i="17"/>
  <c r="V2" i="6"/>
  <c r="T919"/>
  <c r="E28" i="16" s="1"/>
  <c r="V504" i="6"/>
  <c r="V953"/>
  <c r="V358"/>
  <c r="V1095"/>
  <c r="V185"/>
  <c r="V838"/>
  <c r="T993"/>
  <c r="E30" i="16" s="1"/>
  <c r="U430" i="6"/>
  <c r="F16" i="16" s="1"/>
  <c r="U1169" i="6"/>
  <c r="F35" i="16" s="1"/>
  <c r="T185" i="6"/>
  <c r="E11" i="16" s="1"/>
  <c r="V16" i="17"/>
  <c r="U871" i="6"/>
  <c r="F26" i="16" s="1"/>
  <c r="T1145" i="6"/>
  <c r="E34" i="16" s="1"/>
  <c r="V1038" i="6"/>
  <c r="V1204"/>
  <c r="V464"/>
  <c r="V430"/>
  <c r="V1145"/>
  <c r="V379"/>
  <c r="U504"/>
  <c r="F18" i="16" s="1"/>
  <c r="U919" i="6"/>
  <c r="F28" i="16" s="1"/>
  <c r="U1095" i="6"/>
  <c r="F32" i="16" s="1"/>
  <c r="V993" i="6"/>
  <c r="V725"/>
  <c r="U993"/>
  <c r="F30" i="16" s="1"/>
  <c r="U379" i="6"/>
  <c r="F15" i="16" s="1"/>
  <c r="T103" i="6"/>
  <c r="E5" i="16" s="1"/>
  <c r="R17" i="17"/>
  <c r="U654" i="6"/>
  <c r="F21" i="16" s="1"/>
  <c r="U1145" i="6"/>
  <c r="F34" i="16" s="1"/>
  <c r="V919" i="6"/>
  <c r="U1038"/>
  <c r="F31" i="16" s="1"/>
  <c r="V897" i="6"/>
  <c r="V871"/>
  <c r="U757"/>
  <c r="U464"/>
  <c r="F17" i="16" s="1"/>
  <c r="U618" i="6"/>
  <c r="F20" i="16" s="1"/>
  <c r="U1204" i="6"/>
  <c r="F37" i="16" s="1"/>
  <c r="T379" i="6"/>
  <c r="E15" i="16" s="1"/>
  <c r="T654" i="6"/>
  <c r="E21" i="16" s="1"/>
  <c r="Y2" i="6"/>
  <c r="H25" i="17" s="1"/>
  <c r="AD2" i="6"/>
  <c r="Z2"/>
  <c r="AA2"/>
  <c r="AD757"/>
  <c r="Z757"/>
  <c r="AA757"/>
  <c r="AA1038"/>
  <c r="L31" i="16" s="1"/>
  <c r="AD1038" i="6"/>
  <c r="O31" i="16" s="1"/>
  <c r="Z1038" i="6"/>
  <c r="K31" i="16" s="1"/>
  <c r="AD504" i="6"/>
  <c r="O18" i="16" s="1"/>
  <c r="Z504" i="6"/>
  <c r="K18" i="16" s="1"/>
  <c r="AA504" i="6"/>
  <c r="L18" i="16" s="1"/>
  <c r="AA464" i="6"/>
  <c r="L17" i="16" s="1"/>
  <c r="AD464" i="6"/>
  <c r="O17" i="16" s="1"/>
  <c r="Z464" i="6"/>
  <c r="K17" i="16" s="1"/>
  <c r="AD618" i="6"/>
  <c r="O20" i="16" s="1"/>
  <c r="Z618" i="6"/>
  <c r="K20" i="16" s="1"/>
  <c r="AA618" i="6"/>
  <c r="L20" i="16" s="1"/>
  <c r="AD1204" i="6"/>
  <c r="O37" i="16" s="1"/>
  <c r="AA1204" i="6"/>
  <c r="L37" i="16" s="1"/>
  <c r="Z1204" i="6"/>
  <c r="K37" i="16" s="1"/>
  <c r="AD1263" i="6"/>
  <c r="O41" i="16" s="1"/>
  <c r="AA1263" i="6"/>
  <c r="L41" i="16" s="1"/>
  <c r="Z1263" i="6"/>
  <c r="K41" i="16" s="1"/>
  <c r="AD679" i="6"/>
  <c r="O22" i="16" s="1"/>
  <c r="Z679" i="6"/>
  <c r="K22" i="16" s="1"/>
  <c r="AA679" i="6"/>
  <c r="L22" i="16" s="1"/>
  <c r="AA185" i="6"/>
  <c r="L11" i="16" s="1"/>
  <c r="AD185" i="6"/>
  <c r="O11" i="16" s="1"/>
  <c r="Z185" i="6"/>
  <c r="K11" i="16" s="1"/>
  <c r="AD919" i="6"/>
  <c r="O28" i="16" s="1"/>
  <c r="Z919" i="6"/>
  <c r="K28" i="16" s="1"/>
  <c r="AA919" i="6"/>
  <c r="L28" i="16" s="1"/>
  <c r="AA103" i="6"/>
  <c r="L5" i="16" s="1"/>
  <c r="AD103" i="6"/>
  <c r="O5" i="16" s="1"/>
  <c r="Z103" i="6"/>
  <c r="K5" i="16" s="1"/>
  <c r="AA897" i="6"/>
  <c r="L27" i="16" s="1"/>
  <c r="AD897" i="6"/>
  <c r="O27" i="16" s="1"/>
  <c r="Z897" i="6"/>
  <c r="K27" i="16" s="1"/>
  <c r="AD1095" i="6"/>
  <c r="O32" i="16" s="1"/>
  <c r="Z1095" i="6"/>
  <c r="K32" i="16" s="1"/>
  <c r="AA1095" i="6"/>
  <c r="L32" i="16" s="1"/>
  <c r="Z1246" i="6"/>
  <c r="K40" i="16" s="1"/>
  <c r="AD1246" i="6"/>
  <c r="O40" i="16" s="1"/>
  <c r="AA1246" i="6"/>
  <c r="L40" i="16" s="1"/>
  <c r="AA317" i="6"/>
  <c r="L13" i="16" s="1"/>
  <c r="AD317" i="6"/>
  <c r="O13" i="16" s="1"/>
  <c r="Z317" i="6"/>
  <c r="K13" i="16" s="1"/>
  <c r="AD993" i="6"/>
  <c r="O30" i="16" s="1"/>
  <c r="Z993" i="6"/>
  <c r="K30" i="16" s="1"/>
  <c r="AA993" i="6"/>
  <c r="L30" i="16" s="1"/>
  <c r="AA953" i="6"/>
  <c r="L29" i="16" s="1"/>
  <c r="AD953" i="6"/>
  <c r="O29" i="16" s="1"/>
  <c r="Z953" i="6"/>
  <c r="K29" i="16" s="1"/>
  <c r="AD430" i="6"/>
  <c r="O16" i="16" s="1"/>
  <c r="Z430" i="6"/>
  <c r="K16" i="16" s="1"/>
  <c r="AA430" i="6"/>
  <c r="L16" i="16" s="1"/>
  <c r="AD358" i="6"/>
  <c r="O14" i="16" s="1"/>
  <c r="Z358" i="6"/>
  <c r="K14" i="16" s="1"/>
  <c r="AA358" i="6"/>
  <c r="L14" i="16" s="1"/>
  <c r="AD1169" i="6"/>
  <c r="O35" i="16" s="1"/>
  <c r="AA1169" i="6"/>
  <c r="L35" i="16" s="1"/>
  <c r="Z1169" i="6"/>
  <c r="K35" i="16" s="1"/>
  <c r="AD1233" i="6"/>
  <c r="O39" i="16" s="1"/>
  <c r="AA1233" i="6"/>
  <c r="L39" i="16" s="1"/>
  <c r="Z1233" i="6"/>
  <c r="K39" i="16" s="1"/>
  <c r="AA379" i="6"/>
  <c r="L15" i="16" s="1"/>
  <c r="AD379" i="6"/>
  <c r="O15" i="16" s="1"/>
  <c r="Z379" i="6"/>
  <c r="K15" i="16" s="1"/>
  <c r="AD238" i="6"/>
  <c r="O12" i="16" s="1"/>
  <c r="Z238" i="6"/>
  <c r="K12" i="16" s="1"/>
  <c r="AA238" i="6"/>
  <c r="L12" i="16" s="1"/>
  <c r="AD144" i="6"/>
  <c r="O10" i="16" s="1"/>
  <c r="Z144" i="6"/>
  <c r="K10" i="16" s="1"/>
  <c r="AA144" i="6"/>
  <c r="L10" i="16" s="1"/>
  <c r="AA838" i="6"/>
  <c r="L25" i="16" s="1"/>
  <c r="AD838" i="6"/>
  <c r="O25" i="16" s="1"/>
  <c r="Z838" i="6"/>
  <c r="K25" i="16" s="1"/>
  <c r="AA725" i="6"/>
  <c r="L23" i="16" s="1"/>
  <c r="AD725" i="6"/>
  <c r="O23" i="16" s="1"/>
  <c r="Z725" i="6"/>
  <c r="K23" i="16" s="1"/>
  <c r="AD871" i="6"/>
  <c r="O26" i="16" s="1"/>
  <c r="Z871" i="6"/>
  <c r="K26" i="16" s="1"/>
  <c r="AA871" i="6"/>
  <c r="L26" i="16" s="1"/>
  <c r="AA654" i="6"/>
  <c r="L21" i="16" s="1"/>
  <c r="AD654" i="6"/>
  <c r="O21" i="16" s="1"/>
  <c r="Z654" i="6"/>
  <c r="K21" i="16" s="1"/>
  <c r="Z1218" i="6"/>
  <c r="K38" i="16" s="1"/>
  <c r="AD1218" i="6"/>
  <c r="O38" i="16" s="1"/>
  <c r="AA1218" i="6"/>
  <c r="L38" i="16" s="1"/>
  <c r="AA582" i="6"/>
  <c r="L19" i="16" s="1"/>
  <c r="AD582" i="6"/>
  <c r="O19" i="16" s="1"/>
  <c r="Z582" i="6"/>
  <c r="K19" i="16" s="1"/>
  <c r="Z1145" i="6"/>
  <c r="K34" i="16" s="1"/>
  <c r="AD1145" i="6"/>
  <c r="O34" i="16" s="1"/>
  <c r="AA1145" i="6"/>
  <c r="L34" i="16" s="1"/>
  <c r="AA1119" i="6"/>
  <c r="L33" i="16" s="1"/>
  <c r="AD1119" i="6"/>
  <c r="O33" i="16" s="1"/>
  <c r="Z1119" i="6"/>
  <c r="K33" i="16" s="1"/>
  <c r="Z1185" i="6"/>
  <c r="K36" i="16" s="1"/>
  <c r="AD1185" i="6"/>
  <c r="O36" i="16" s="1"/>
  <c r="AA1185" i="6"/>
  <c r="L36" i="16" s="1"/>
  <c r="T144" i="6"/>
  <c r="E10" i="16" s="1"/>
  <c r="Y144" i="6"/>
  <c r="AX25" i="17" s="1"/>
  <c r="Y1246" i="6"/>
  <c r="Y1038"/>
  <c r="NH25" i="17" s="1"/>
  <c r="Y464" i="6"/>
  <c r="ER25" i="17" s="1"/>
  <c r="Y993" i="6"/>
  <c r="MT25" i="17" s="1"/>
  <c r="Y430" i="6"/>
  <c r="ED25" i="17" s="1"/>
  <c r="Y358" i="6"/>
  <c r="DB25" i="17" s="1"/>
  <c r="Y1204" i="6"/>
  <c r="QN25" i="17" s="1"/>
  <c r="Y1263" i="6"/>
  <c r="Y185"/>
  <c r="BL25" i="17" s="1"/>
  <c r="Y238" i="6"/>
  <c r="BZ25" i="17" s="1"/>
  <c r="Y103" i="6"/>
  <c r="Y871"/>
  <c r="KP25" i="17" s="1"/>
  <c r="Y897" i="6"/>
  <c r="LD25" i="17" s="1"/>
  <c r="Y1218" i="6"/>
  <c r="RB25" i="17" s="1"/>
  <c r="Y1145" i="6"/>
  <c r="OX25" i="17" s="1"/>
  <c r="Y1185" i="6"/>
  <c r="PZ25" i="17" s="1"/>
  <c r="T757" i="6"/>
  <c r="Y757"/>
  <c r="IL25" i="17" s="1"/>
  <c r="T504" i="6"/>
  <c r="E18" i="16" s="1"/>
  <c r="Y504" i="6"/>
  <c r="FF25" i="17" s="1"/>
  <c r="T317" i="6"/>
  <c r="E13" i="16" s="1"/>
  <c r="Y317" i="6"/>
  <c r="CN25" i="17" s="1"/>
  <c r="T953" i="6"/>
  <c r="E29" i="16" s="1"/>
  <c r="Y953" i="6"/>
  <c r="MF25" i="17" s="1"/>
  <c r="T618" i="6"/>
  <c r="E20" i="16" s="1"/>
  <c r="Y618" i="6"/>
  <c r="GH25" i="17" s="1"/>
  <c r="T1169" i="6"/>
  <c r="E35" i="16" s="1"/>
  <c r="Y1169" i="6"/>
  <c r="PL25" i="17" s="1"/>
  <c r="T1233" i="6"/>
  <c r="E39" i="16" s="1"/>
  <c r="Y1233" i="6"/>
  <c r="T679"/>
  <c r="E22" i="16" s="1"/>
  <c r="Y679" i="6"/>
  <c r="HJ25" i="17" s="1"/>
  <c r="T838" i="6"/>
  <c r="E25" i="16" s="1"/>
  <c r="Y838" i="6"/>
  <c r="KB25" i="17" s="1"/>
  <c r="T725" i="6"/>
  <c r="E23" i="16" s="1"/>
  <c r="Y725" i="6"/>
  <c r="HX25" i="17" s="1"/>
  <c r="T1095" i="6"/>
  <c r="E32" i="16" s="1"/>
  <c r="Y1095" i="6"/>
  <c r="NV25" i="17" s="1"/>
  <c r="T582" i="6"/>
  <c r="E19" i="16" s="1"/>
  <c r="Y582" i="6"/>
  <c r="FT25" i="17" s="1"/>
  <c r="T1119" i="6"/>
  <c r="E33" i="16" s="1"/>
  <c r="Y1119" i="6"/>
  <c r="OJ25" i="17" s="1"/>
  <c r="Y379" i="6"/>
  <c r="DP25" i="17" s="1"/>
  <c r="Y919" i="6"/>
  <c r="LR25" i="17" s="1"/>
  <c r="Y654" i="6"/>
  <c r="GV25" i="17" s="1"/>
  <c r="T2" i="6"/>
  <c r="S144"/>
  <c r="D10" i="16" s="1"/>
  <c r="U9" i="5"/>
  <c r="E109" i="9"/>
  <c r="H109" s="1"/>
  <c r="S103" i="6"/>
  <c r="D5" i="16" s="1"/>
  <c r="S2" i="6"/>
  <c r="D4" i="16" s="1"/>
  <c r="S1204" i="6"/>
  <c r="D37" i="16" s="1"/>
  <c r="S1233" i="6"/>
  <c r="D39" i="16" s="1"/>
  <c r="S679" i="6"/>
  <c r="D22" i="16" s="1"/>
  <c r="U185" i="6"/>
  <c r="F11" i="16" s="1"/>
  <c r="S379" i="6"/>
  <c r="D15" i="16" s="1"/>
  <c r="S919" i="6"/>
  <c r="D28" i="16" s="1"/>
  <c r="S871" i="6"/>
  <c r="D26" i="16" s="1"/>
  <c r="S897" i="6"/>
  <c r="D27" i="16" s="1"/>
  <c r="S1218" i="6"/>
  <c r="D38" i="16" s="1"/>
  <c r="S757" i="6"/>
  <c r="S504"/>
  <c r="D18" i="16" s="1"/>
  <c r="S317" i="6"/>
  <c r="D13" i="16" s="1"/>
  <c r="S953" i="6"/>
  <c r="D29" i="16" s="1"/>
  <c r="S618" i="6"/>
  <c r="D20" i="16" s="1"/>
  <c r="S358" i="6"/>
  <c r="D14" i="16" s="1"/>
  <c r="S1119" i="6"/>
  <c r="D33" i="16" s="1"/>
  <c r="S1185" i="6"/>
  <c r="D36" i="16" s="1"/>
  <c r="V144" i="6"/>
  <c r="U2"/>
  <c r="S1263"/>
  <c r="D41" i="16" s="1"/>
  <c r="S185" i="6"/>
  <c r="D11" i="16" s="1"/>
  <c r="S238" i="6"/>
  <c r="D12" i="16" s="1"/>
  <c r="S838" i="6"/>
  <c r="D25" i="16" s="1"/>
  <c r="U103" i="6"/>
  <c r="F5" i="16" s="1"/>
  <c r="S725" i="6"/>
  <c r="D23" i="16" s="1"/>
  <c r="S654" i="6"/>
  <c r="D21" i="16" s="1"/>
  <c r="S1095" i="6"/>
  <c r="D32" i="16" s="1"/>
  <c r="S1246" i="6"/>
  <c r="D40" i="16" s="1"/>
  <c r="S464" i="6"/>
  <c r="D17" i="16" s="1"/>
  <c r="S993" i="6"/>
  <c r="D30" i="16" s="1"/>
  <c r="S430" i="6"/>
  <c r="D16" i="16" s="1"/>
  <c r="S582" i="6"/>
  <c r="D19" i="16" s="1"/>
  <c r="S1145" i="6"/>
  <c r="D34" i="16" s="1"/>
  <c r="S1169" i="6"/>
  <c r="D35" i="16" s="1"/>
  <c r="S1038" i="6"/>
  <c r="D31" i="16" s="1"/>
  <c r="U317" i="6"/>
  <c r="F13" i="16" s="1"/>
  <c r="RB16" i="17" l="1"/>
  <c r="QK24"/>
  <c r="QN19"/>
  <c r="QV71"/>
  <c r="RJ13"/>
  <c r="QW13"/>
  <c r="QW71" s="1"/>
  <c r="QY33"/>
  <c r="RB66"/>
  <c r="QY32"/>
  <c r="RB32" s="1"/>
  <c r="QX19"/>
  <c r="RB24"/>
  <c r="QX20"/>
  <c r="RB20" s="1"/>
  <c r="QY30"/>
  <c r="RB30" s="1"/>
  <c r="QY31"/>
  <c r="QY34" s="1"/>
  <c r="RB34" s="1"/>
  <c r="LR26"/>
  <c r="LL75" s="1"/>
  <c r="NV26"/>
  <c r="NP75" s="1"/>
  <c r="KB26"/>
  <c r="JV75" s="1"/>
  <c r="MF26"/>
  <c r="LZ75" s="1"/>
  <c r="CN26"/>
  <c r="CH75" s="1"/>
  <c r="GV26"/>
  <c r="GP75" s="1"/>
  <c r="DP26"/>
  <c r="DJ75" s="1"/>
  <c r="OX26"/>
  <c r="OR75" s="1"/>
  <c r="LD26"/>
  <c r="KX75" s="1"/>
  <c r="BL26"/>
  <c r="BF75" s="1"/>
  <c r="QN26"/>
  <c r="QH75" s="1"/>
  <c r="ED26"/>
  <c r="DX75" s="1"/>
  <c r="ER26"/>
  <c r="EL75" s="1"/>
  <c r="PW34"/>
  <c r="PZ34" s="1"/>
  <c r="PZ31"/>
  <c r="OJ21"/>
  <c r="OX21"/>
  <c r="FT21"/>
  <c r="RB31"/>
  <c r="GV31"/>
  <c r="GV35" s="1"/>
  <c r="GP76" s="1"/>
  <c r="GS34"/>
  <c r="GV34" s="1"/>
  <c r="KP31"/>
  <c r="KM34"/>
  <c r="KP34" s="1"/>
  <c r="HX21"/>
  <c r="KB21"/>
  <c r="AU34"/>
  <c r="AX34" s="1"/>
  <c r="AX31"/>
  <c r="BZ21"/>
  <c r="DP31"/>
  <c r="DP35" s="1"/>
  <c r="DJ76" s="1"/>
  <c r="DM34"/>
  <c r="DP34" s="1"/>
  <c r="QN31"/>
  <c r="QK34"/>
  <c r="QN34" s="1"/>
  <c r="GH21"/>
  <c r="ER21"/>
  <c r="FF31"/>
  <c r="FC34"/>
  <c r="FF34" s="1"/>
  <c r="FF35" s="1"/>
  <c r="EZ76" s="1"/>
  <c r="NH21"/>
  <c r="IL21"/>
  <c r="IL30"/>
  <c r="JK30"/>
  <c r="JN30" s="1"/>
  <c r="E34"/>
  <c r="H34" s="1"/>
  <c r="H31"/>
  <c r="NV31"/>
  <c r="NS34"/>
  <c r="NV34" s="1"/>
  <c r="LA34"/>
  <c r="LD34" s="1"/>
  <c r="LD31"/>
  <c r="LO34"/>
  <c r="LR34" s="1"/>
  <c r="LR31"/>
  <c r="BL21"/>
  <c r="HJ31"/>
  <c r="HG34"/>
  <c r="HJ34" s="1"/>
  <c r="PI34"/>
  <c r="PL34" s="1"/>
  <c r="PL31"/>
  <c r="CY34"/>
  <c r="DB34" s="1"/>
  <c r="DB31"/>
  <c r="ED21"/>
  <c r="MF31"/>
  <c r="MC34"/>
  <c r="MF34" s="1"/>
  <c r="MQ34"/>
  <c r="MT34" s="1"/>
  <c r="MT31"/>
  <c r="CN21"/>
  <c r="OJ26"/>
  <c r="OD75" s="1"/>
  <c r="FT26"/>
  <c r="FN75" s="1"/>
  <c r="HX26"/>
  <c r="HR75" s="1"/>
  <c r="HJ26"/>
  <c r="HD75" s="1"/>
  <c r="PL26"/>
  <c r="PF75" s="1"/>
  <c r="GH26"/>
  <c r="GB75" s="1"/>
  <c r="FF26"/>
  <c r="EZ75" s="1"/>
  <c r="IL26"/>
  <c r="IF75" s="1"/>
  <c r="JN25"/>
  <c r="PZ26"/>
  <c r="PT75" s="1"/>
  <c r="RB26"/>
  <c r="QV75" s="1"/>
  <c r="KP26"/>
  <c r="KJ75" s="1"/>
  <c r="BZ26"/>
  <c r="BT75" s="1"/>
  <c r="DB26"/>
  <c r="CV75" s="1"/>
  <c r="MT26"/>
  <c r="MN75" s="1"/>
  <c r="NH26"/>
  <c r="NB75" s="1"/>
  <c r="AX26"/>
  <c r="AR75" s="1"/>
  <c r="IZ41"/>
  <c r="PZ21"/>
  <c r="OG34"/>
  <c r="OJ34" s="1"/>
  <c r="OJ31"/>
  <c r="OX31"/>
  <c r="OU34"/>
  <c r="OX34" s="1"/>
  <c r="FQ34"/>
  <c r="FT34" s="1"/>
  <c r="FT31"/>
  <c r="GV21"/>
  <c r="KP21"/>
  <c r="HU34"/>
  <c r="HX34" s="1"/>
  <c r="HX31"/>
  <c r="KB31"/>
  <c r="JY34"/>
  <c r="KB34" s="1"/>
  <c r="AX21"/>
  <c r="BW34"/>
  <c r="BZ34" s="1"/>
  <c r="BZ31"/>
  <c r="DP21"/>
  <c r="QN21"/>
  <c r="GH31"/>
  <c r="GE34"/>
  <c r="GH34" s="1"/>
  <c r="ER31"/>
  <c r="EO34"/>
  <c r="ER34" s="1"/>
  <c r="FF21"/>
  <c r="NE34"/>
  <c r="NH34" s="1"/>
  <c r="NH31"/>
  <c r="JN21"/>
  <c r="II34"/>
  <c r="IL31"/>
  <c r="JK31"/>
  <c r="JN31" s="1"/>
  <c r="H21"/>
  <c r="B74" s="1"/>
  <c r="NV21"/>
  <c r="LD21"/>
  <c r="LR21"/>
  <c r="BI34"/>
  <c r="BL34" s="1"/>
  <c r="BL31"/>
  <c r="HJ21"/>
  <c r="PL21"/>
  <c r="DB21"/>
  <c r="EA34"/>
  <c r="ED34" s="1"/>
  <c r="ED31"/>
  <c r="MF21"/>
  <c r="MT21"/>
  <c r="CK34"/>
  <c r="CN34" s="1"/>
  <c r="CN31"/>
  <c r="AF19"/>
  <c r="V20"/>
  <c r="L4" i="16"/>
  <c r="AA1275" i="6"/>
  <c r="K4" i="16"/>
  <c r="K9" s="1"/>
  <c r="Z1275" i="6"/>
  <c r="O4" i="16"/>
  <c r="O9" s="1"/>
  <c r="AD1275" i="6"/>
  <c r="G4" i="16"/>
  <c r="V1275" i="6"/>
  <c r="Y1275"/>
  <c r="F4" i="16"/>
  <c r="F9" s="1"/>
  <c r="U1275" i="6"/>
  <c r="E4" i="16"/>
  <c r="E9" s="1"/>
  <c r="T1275" i="6"/>
  <c r="K6" i="16"/>
  <c r="K24" s="1"/>
  <c r="O6"/>
  <c r="O24" s="1"/>
  <c r="H85" i="9"/>
  <c r="L6" i="16"/>
  <c r="L24" s="1"/>
  <c r="C96" i="6"/>
  <c r="X95"/>
  <c r="F6" i="16"/>
  <c r="F24" s="1"/>
  <c r="E6"/>
  <c r="E24" s="1"/>
  <c r="D6"/>
  <c r="D24" s="1"/>
  <c r="S1275" i="6"/>
  <c r="V25" i="17"/>
  <c r="AJ25" s="1"/>
  <c r="V19"/>
  <c r="S24"/>
  <c r="AF20"/>
  <c r="AJ20" s="1"/>
  <c r="G23" i="16"/>
  <c r="G34"/>
  <c r="G31"/>
  <c r="G32"/>
  <c r="G5"/>
  <c r="V24" i="17"/>
  <c r="G21" i="16"/>
  <c r="G13"/>
  <c r="G28"/>
  <c r="G30"/>
  <c r="G16"/>
  <c r="G14"/>
  <c r="G36"/>
  <c r="G12"/>
  <c r="G6"/>
  <c r="G24" s="1"/>
  <c r="G26"/>
  <c r="G17"/>
  <c r="G25"/>
  <c r="G29"/>
  <c r="G33"/>
  <c r="G35"/>
  <c r="G27"/>
  <c r="G15"/>
  <c r="G37"/>
  <c r="G11"/>
  <c r="G18"/>
  <c r="G19"/>
  <c r="G22"/>
  <c r="G20"/>
  <c r="AG24" i="17"/>
  <c r="AJ19"/>
  <c r="H92" i="9"/>
  <c r="D9" i="16"/>
  <c r="V17" i="17"/>
  <c r="AF17"/>
  <c r="AJ17" s="1"/>
  <c r="V18"/>
  <c r="AF18"/>
  <c r="AJ18" s="1"/>
  <c r="L9" i="16"/>
  <c r="L42" s="1"/>
  <c r="H71" i="9"/>
  <c r="S31" i="17"/>
  <c r="S30"/>
  <c r="J146" i="16"/>
  <c r="J31"/>
  <c r="V9" i="5"/>
  <c r="W1276" i="6" s="1"/>
  <c r="J10" i="16"/>
  <c r="J4"/>
  <c r="H93" i="9"/>
  <c r="J32" i="16"/>
  <c r="H100" i="9"/>
  <c r="J39" i="16"/>
  <c r="H74" i="9"/>
  <c r="J13" i="16"/>
  <c r="H99" i="9"/>
  <c r="J38" i="16"/>
  <c r="H75" i="9"/>
  <c r="J14" i="16"/>
  <c r="H82" i="9"/>
  <c r="J21" i="16"/>
  <c r="H88" i="9"/>
  <c r="J27" i="16"/>
  <c r="H77" i="9"/>
  <c r="J16" i="16"/>
  <c r="H89" i="9"/>
  <c r="J28" i="16"/>
  <c r="H84" i="9"/>
  <c r="J23" i="16"/>
  <c r="H96" i="9"/>
  <c r="J35" i="16"/>
  <c r="H79" i="9"/>
  <c r="J18" i="16"/>
  <c r="H87" i="9"/>
  <c r="J26" i="16"/>
  <c r="H91" i="9"/>
  <c r="J30" i="16"/>
  <c r="H76" i="9"/>
  <c r="J15" i="16"/>
  <c r="H70" i="9"/>
  <c r="J5" i="16"/>
  <c r="H78" i="9"/>
  <c r="J17" i="16"/>
  <c r="H94" i="9"/>
  <c r="J33" i="16"/>
  <c r="H86" i="9"/>
  <c r="J25" i="16"/>
  <c r="H81" i="9"/>
  <c r="J20" i="16"/>
  <c r="J6"/>
  <c r="J24" s="1"/>
  <c r="H73" i="9"/>
  <c r="J12" i="16"/>
  <c r="G10"/>
  <c r="H72" i="9"/>
  <c r="J11" i="16"/>
  <c r="H101" i="9"/>
  <c r="J40" i="16"/>
  <c r="H80" i="9"/>
  <c r="J19" i="16"/>
  <c r="H83" i="9"/>
  <c r="J22" i="16"/>
  <c r="H90" i="9"/>
  <c r="J29" i="16"/>
  <c r="H97" i="9"/>
  <c r="J36" i="16"/>
  <c r="H102" i="9"/>
  <c r="J41" i="16"/>
  <c r="H95" i="9"/>
  <c r="J34" i="16"/>
  <c r="H98" i="9"/>
  <c r="J37" i="16"/>
  <c r="H69" i="9"/>
  <c r="D17"/>
  <c r="H17" s="1"/>
  <c r="U8" i="5"/>
  <c r="E107" i="9"/>
  <c r="H107" s="1"/>
  <c r="E108"/>
  <c r="H108" s="1"/>
  <c r="U10" i="5"/>
  <c r="R1276" i="6"/>
  <c r="U6" i="5"/>
  <c r="AE144" i="6"/>
  <c r="AE757"/>
  <c r="AE379"/>
  <c r="AE430"/>
  <c r="AE725"/>
  <c r="AE618"/>
  <c r="AE317"/>
  <c r="AE679"/>
  <c r="AE464"/>
  <c r="AE654"/>
  <c r="AE238"/>
  <c r="AE582"/>
  <c r="AE185"/>
  <c r="AE358"/>
  <c r="AE504"/>
  <c r="AE103"/>
  <c r="U7" i="5"/>
  <c r="RB33" i="17" l="1"/>
  <c r="QY24"/>
  <c r="RB19"/>
  <c r="RB21" s="1"/>
  <c r="D42" i="16"/>
  <c r="G9"/>
  <c r="MF35" i="17"/>
  <c r="LZ76" s="1"/>
  <c r="DB35"/>
  <c r="CV76" s="1"/>
  <c r="LD35"/>
  <c r="KX76" s="1"/>
  <c r="AX35"/>
  <c r="AR76" s="1"/>
  <c r="RJ71"/>
  <c r="RX13"/>
  <c r="RK13"/>
  <c r="RK71" s="1"/>
  <c r="RP66"/>
  <c r="RM33"/>
  <c r="RP33" s="1"/>
  <c r="RL19"/>
  <c r="RM32"/>
  <c r="RP32" s="1"/>
  <c r="RP24"/>
  <c r="RL17"/>
  <c r="RL16"/>
  <c r="RL18"/>
  <c r="RL20"/>
  <c r="RP25"/>
  <c r="PZ35"/>
  <c r="PT76" s="1"/>
  <c r="CN35"/>
  <c r="CH76" s="1"/>
  <c r="BL35"/>
  <c r="BF76" s="1"/>
  <c r="MT35"/>
  <c r="MN76" s="1"/>
  <c r="LR35"/>
  <c r="LL76" s="1"/>
  <c r="RB35"/>
  <c r="QV76" s="1"/>
  <c r="ER35"/>
  <c r="EL76" s="1"/>
  <c r="ED35"/>
  <c r="DX76" s="1"/>
  <c r="KB35"/>
  <c r="JV76" s="1"/>
  <c r="PL35"/>
  <c r="PF76" s="1"/>
  <c r="MN74"/>
  <c r="LZ74"/>
  <c r="MF37"/>
  <c r="CV74"/>
  <c r="DB37"/>
  <c r="PF74"/>
  <c r="HD74"/>
  <c r="LL74"/>
  <c r="KX74"/>
  <c r="LD37"/>
  <c r="NP74"/>
  <c r="HX35"/>
  <c r="HR76" s="1"/>
  <c r="FT35"/>
  <c r="FN76" s="1"/>
  <c r="OX35"/>
  <c r="OR76" s="1"/>
  <c r="JN26"/>
  <c r="JH75" s="1"/>
  <c r="CH74"/>
  <c r="DX74"/>
  <c r="BL37"/>
  <c r="BF74"/>
  <c r="H35"/>
  <c r="IF74"/>
  <c r="NB74"/>
  <c r="EL74"/>
  <c r="GB74"/>
  <c r="BT74"/>
  <c r="JV74"/>
  <c r="HR74"/>
  <c r="FT37"/>
  <c r="FN74"/>
  <c r="OR74"/>
  <c r="OD74"/>
  <c r="E42" i="16"/>
  <c r="NV35" i="17"/>
  <c r="NP76" s="1"/>
  <c r="NH35"/>
  <c r="NB76" s="1"/>
  <c r="QN35"/>
  <c r="QH76" s="1"/>
  <c r="BZ35"/>
  <c r="BT76" s="1"/>
  <c r="KP35"/>
  <c r="KJ76" s="1"/>
  <c r="IL34"/>
  <c r="JK34"/>
  <c r="JN34" s="1"/>
  <c r="JH74"/>
  <c r="FF37"/>
  <c r="EZ74"/>
  <c r="QH74"/>
  <c r="DJ74"/>
  <c r="DP37"/>
  <c r="AR74"/>
  <c r="AX37"/>
  <c r="KJ74"/>
  <c r="KP37"/>
  <c r="GV37"/>
  <c r="GP74"/>
  <c r="QV74"/>
  <c r="RB37"/>
  <c r="PT74"/>
  <c r="IT77"/>
  <c r="IZ43"/>
  <c r="HJ35"/>
  <c r="HD76" s="1"/>
  <c r="O42" i="16"/>
  <c r="K42"/>
  <c r="GH35" i="17"/>
  <c r="GB76" s="1"/>
  <c r="OJ35"/>
  <c r="OD76" s="1"/>
  <c r="G42" i="16"/>
  <c r="F42"/>
  <c r="AJ21" i="17"/>
  <c r="X96" i="6"/>
  <c r="C97"/>
  <c r="V21" i="17"/>
  <c r="P74" s="1"/>
  <c r="V26"/>
  <c r="P75" s="1"/>
  <c r="AG31"/>
  <c r="AJ31" s="1"/>
  <c r="V30"/>
  <c r="AG30"/>
  <c r="AJ30" s="1"/>
  <c r="AD74"/>
  <c r="J9" i="16"/>
  <c r="J42" s="1"/>
  <c r="V31" i="17"/>
  <c r="S34"/>
  <c r="O1276" i="6"/>
  <c r="Q1276"/>
  <c r="V6" i="5"/>
  <c r="S1276" i="6" s="1"/>
  <c r="P1276"/>
  <c r="H68" i="9"/>
  <c r="AF654" i="6"/>
  <c r="AF464"/>
  <c r="AF379"/>
  <c r="AF679"/>
  <c r="AF317"/>
  <c r="AF103"/>
  <c r="AF504"/>
  <c r="AF358"/>
  <c r="AF618"/>
  <c r="AF757"/>
  <c r="AF185"/>
  <c r="AF725"/>
  <c r="AF144"/>
  <c r="AF582"/>
  <c r="AF238"/>
  <c r="AF430"/>
  <c r="V8" i="5"/>
  <c r="V1276" i="6" s="1"/>
  <c r="D16" i="9"/>
  <c r="H16" s="1"/>
  <c r="D18"/>
  <c r="H18" s="1"/>
  <c r="V10" i="5"/>
  <c r="U1276" i="6" s="1"/>
  <c r="N1276"/>
  <c r="D14" i="9"/>
  <c r="H14" s="1"/>
  <c r="E111"/>
  <c r="H111" s="1"/>
  <c r="H112" s="1"/>
  <c r="H30" i="15" s="1"/>
  <c r="V7" i="5"/>
  <c r="T1276" i="6" s="1"/>
  <c r="D15" i="9"/>
  <c r="H15" s="1"/>
  <c r="ED37" i="17" l="1"/>
  <c r="RP17"/>
  <c r="RP20"/>
  <c r="RP26"/>
  <c r="RJ75" s="1"/>
  <c r="RP18"/>
  <c r="PZ37"/>
  <c r="RM30"/>
  <c r="RP16"/>
  <c r="RM31"/>
  <c r="RM24"/>
  <c r="RP19"/>
  <c r="SL13"/>
  <c r="RX71"/>
  <c r="RY13"/>
  <c r="RY71" s="1"/>
  <c r="SA33"/>
  <c r="SD33" s="1"/>
  <c r="SD66"/>
  <c r="TF66" s="1"/>
  <c r="RZ19"/>
  <c r="SA32"/>
  <c r="SD32" s="1"/>
  <c r="SD24"/>
  <c r="RZ18"/>
  <c r="SD18" s="1"/>
  <c r="RZ17"/>
  <c r="SD17" s="1"/>
  <c r="RZ16"/>
  <c r="RZ20"/>
  <c r="SD20" s="1"/>
  <c r="SD25"/>
  <c r="TF25" s="1"/>
  <c r="LR37"/>
  <c r="CN37"/>
  <c r="PL37"/>
  <c r="MT37"/>
  <c r="MT40" s="1"/>
  <c r="OX37"/>
  <c r="HX37"/>
  <c r="KB37"/>
  <c r="KB40" s="1"/>
  <c r="ER37"/>
  <c r="QN37"/>
  <c r="IZ46"/>
  <c r="IZ47"/>
  <c r="PZ40"/>
  <c r="RB40"/>
  <c r="KP40"/>
  <c r="AX40"/>
  <c r="DP40"/>
  <c r="QN40"/>
  <c r="JN35"/>
  <c r="HX40"/>
  <c r="ER40"/>
  <c r="CN40"/>
  <c r="LR40"/>
  <c r="GH37"/>
  <c r="NH37"/>
  <c r="GV40"/>
  <c r="FF40"/>
  <c r="OX40"/>
  <c r="FT40"/>
  <c r="B76"/>
  <c r="BL40"/>
  <c r="ED40"/>
  <c r="LD40"/>
  <c r="PL40"/>
  <c r="DB40"/>
  <c r="MF40"/>
  <c r="OJ37"/>
  <c r="BZ37"/>
  <c r="IL35"/>
  <c r="NV37"/>
  <c r="HJ37"/>
  <c r="X97" i="6"/>
  <c r="C98"/>
  <c r="V34" i="17"/>
  <c r="V35" s="1"/>
  <c r="V37" s="1"/>
  <c r="AG34"/>
  <c r="AJ34" s="1"/>
  <c r="AJ35" s="1"/>
  <c r="AG430" i="6"/>
  <c r="AH430" s="1"/>
  <c r="Q16" i="16" s="1"/>
  <c r="P16"/>
  <c r="AG358" i="6"/>
  <c r="AH358" s="1"/>
  <c r="Q14" i="16" s="1"/>
  <c r="P14"/>
  <c r="AG654" i="6"/>
  <c r="AH654" s="1"/>
  <c r="Q21" i="16" s="1"/>
  <c r="P21"/>
  <c r="AG238" i="6"/>
  <c r="AH238" s="1"/>
  <c r="Q12" i="16" s="1"/>
  <c r="P12"/>
  <c r="AG504" i="6"/>
  <c r="AH504" s="1"/>
  <c r="Q18" i="16" s="1"/>
  <c r="P18"/>
  <c r="AG582" i="6"/>
  <c r="AH582" s="1"/>
  <c r="Q19" i="16" s="1"/>
  <c r="P19"/>
  <c r="AG103" i="6"/>
  <c r="AH103" s="1"/>
  <c r="Q5" i="16" s="1"/>
  <c r="P5"/>
  <c r="AG144" i="6"/>
  <c r="AH144" s="1"/>
  <c r="Q10" i="16" s="1"/>
  <c r="P10"/>
  <c r="AG725" i="6"/>
  <c r="AH725" s="1"/>
  <c r="Q23" i="16" s="1"/>
  <c r="P23"/>
  <c r="AG679" i="6"/>
  <c r="AH679" s="1"/>
  <c r="Q22" i="16" s="1"/>
  <c r="P22"/>
  <c r="AG757" i="6"/>
  <c r="AH757" s="1"/>
  <c r="Q6" i="16" s="1"/>
  <c r="Q24" s="1"/>
  <c r="P6"/>
  <c r="P24" s="1"/>
  <c r="AG379" i="6"/>
  <c r="AH379" s="1"/>
  <c r="Q15" i="16" s="1"/>
  <c r="P15"/>
  <c r="AG317" i="6"/>
  <c r="AH317" s="1"/>
  <c r="Q13" i="16" s="1"/>
  <c r="P13"/>
  <c r="AG185" i="6"/>
  <c r="AH185" s="1"/>
  <c r="Q11" i="16" s="1"/>
  <c r="P11"/>
  <c r="AG618" i="6"/>
  <c r="AH618" s="1"/>
  <c r="Q20" i="16" s="1"/>
  <c r="P20"/>
  <c r="AG464" i="6"/>
  <c r="AH464" s="1"/>
  <c r="Q17" i="16" s="1"/>
  <c r="P17"/>
  <c r="H30" i="9"/>
  <c r="H28" i="15" s="1"/>
  <c r="V22" i="5"/>
  <c r="SL71" i="17" l="1"/>
  <c r="SM13"/>
  <c r="SM71" s="1"/>
  <c r="SR66"/>
  <c r="SO33"/>
  <c r="SR33" s="1"/>
  <c r="SN19"/>
  <c r="SR24"/>
  <c r="SO32"/>
  <c r="SR32" s="1"/>
  <c r="SN16"/>
  <c r="SN17"/>
  <c r="SR17" s="1"/>
  <c r="SN20"/>
  <c r="SR20" s="1"/>
  <c r="SN18"/>
  <c r="SR18" s="1"/>
  <c r="SR25"/>
  <c r="RM34"/>
  <c r="RP31"/>
  <c r="TC32"/>
  <c r="SD26"/>
  <c r="RX75" s="1"/>
  <c r="TB17"/>
  <c r="SD16"/>
  <c r="SD21" s="1"/>
  <c r="SA31"/>
  <c r="SA30"/>
  <c r="SD30" s="1"/>
  <c r="RP21"/>
  <c r="RJ74" s="1"/>
  <c r="SA24"/>
  <c r="SD19"/>
  <c r="RP30"/>
  <c r="TC33"/>
  <c r="TF33" s="1"/>
  <c r="HJ40"/>
  <c r="NV40"/>
  <c r="IF76"/>
  <c r="IL37"/>
  <c r="OJ40"/>
  <c r="MT41"/>
  <c r="MF41"/>
  <c r="DB41"/>
  <c r="PL41"/>
  <c r="LD41"/>
  <c r="ED41"/>
  <c r="BL41"/>
  <c r="GH40"/>
  <c r="IZ48"/>
  <c r="BZ40"/>
  <c r="FT41"/>
  <c r="OX41"/>
  <c r="FF41"/>
  <c r="GV41"/>
  <c r="NH40"/>
  <c r="LR41"/>
  <c r="CN41"/>
  <c r="ER41"/>
  <c r="KB41"/>
  <c r="HX41"/>
  <c r="JH76"/>
  <c r="JN37"/>
  <c r="QN41"/>
  <c r="DP41"/>
  <c r="AX41"/>
  <c r="KP41"/>
  <c r="RB41"/>
  <c r="PZ41"/>
  <c r="X98" i="6"/>
  <c r="C99"/>
  <c r="AD76" i="17"/>
  <c r="P76"/>
  <c r="V40"/>
  <c r="V41" s="1"/>
  <c r="P77" s="1"/>
  <c r="TF32"/>
  <c r="TF17"/>
  <c r="TA71"/>
  <c r="AE1263" i="6"/>
  <c r="SR26" i="17" l="1"/>
  <c r="SL75" s="1"/>
  <c r="TB20"/>
  <c r="TF20" s="1"/>
  <c r="SA34"/>
  <c r="SD34" s="1"/>
  <c r="SD31"/>
  <c r="SD35" s="1"/>
  <c r="TB18"/>
  <c r="TF18" s="1"/>
  <c r="RP34"/>
  <c r="RP35" s="1"/>
  <c r="SO24"/>
  <c r="SR19"/>
  <c r="RX74"/>
  <c r="SR16"/>
  <c r="SO30"/>
  <c r="SO31"/>
  <c r="TB19"/>
  <c r="TB16"/>
  <c r="TF16" s="1"/>
  <c r="PT77"/>
  <c r="PZ43"/>
  <c r="QV77"/>
  <c r="RB43"/>
  <c r="KJ77"/>
  <c r="KP43"/>
  <c r="AR77"/>
  <c r="AX43"/>
  <c r="DJ77"/>
  <c r="DP43"/>
  <c r="QH77"/>
  <c r="QN43"/>
  <c r="HR77"/>
  <c r="HX43"/>
  <c r="JV77"/>
  <c r="KB43"/>
  <c r="EL77"/>
  <c r="ER43"/>
  <c r="CH77"/>
  <c r="CN43"/>
  <c r="LL77"/>
  <c r="LR43"/>
  <c r="NH41"/>
  <c r="GP77"/>
  <c r="GV43"/>
  <c r="EZ77"/>
  <c r="FF43"/>
  <c r="OR77"/>
  <c r="OX43"/>
  <c r="FN77"/>
  <c r="FT43"/>
  <c r="BZ41"/>
  <c r="IT78"/>
  <c r="IZ50"/>
  <c r="GH41"/>
  <c r="BF77"/>
  <c r="BL43"/>
  <c r="DX77"/>
  <c r="ED43"/>
  <c r="KX77"/>
  <c r="LD43"/>
  <c r="PF77"/>
  <c r="PL43"/>
  <c r="CV77"/>
  <c r="DB43"/>
  <c r="LZ77"/>
  <c r="MF43"/>
  <c r="MN77"/>
  <c r="MT43"/>
  <c r="OJ41"/>
  <c r="NV41"/>
  <c r="HJ41"/>
  <c r="JN40"/>
  <c r="IL40"/>
  <c r="X99" i="6"/>
  <c r="C100"/>
  <c r="V43" i="17"/>
  <c r="TC24"/>
  <c r="TF19"/>
  <c r="AF1263" i="6"/>
  <c r="AE1246"/>
  <c r="RX76" i="17" l="1"/>
  <c r="SD37"/>
  <c r="SD40" s="1"/>
  <c r="SD41" s="1"/>
  <c r="RJ76"/>
  <c r="RP37"/>
  <c r="RP40" s="1"/>
  <c r="SR30"/>
  <c r="TC30"/>
  <c r="TF30" s="1"/>
  <c r="SR21"/>
  <c r="SO34"/>
  <c r="SR31"/>
  <c r="TC31"/>
  <c r="RP41"/>
  <c r="IL41"/>
  <c r="JN41"/>
  <c r="HD77"/>
  <c r="HJ43"/>
  <c r="NP77"/>
  <c r="NV43"/>
  <c r="OD77"/>
  <c r="OJ43"/>
  <c r="GB77"/>
  <c r="GH43"/>
  <c r="RX77"/>
  <c r="SD43"/>
  <c r="BT77"/>
  <c r="BZ43"/>
  <c r="NB77"/>
  <c r="NH43"/>
  <c r="MT46"/>
  <c r="MT47"/>
  <c r="MF47"/>
  <c r="MF46"/>
  <c r="DB46"/>
  <c r="DB47"/>
  <c r="PL46"/>
  <c r="PL47"/>
  <c r="LD47"/>
  <c r="LD46"/>
  <c r="ED46"/>
  <c r="ED47"/>
  <c r="BL47"/>
  <c r="BL46"/>
  <c r="IW55"/>
  <c r="JD55" s="1"/>
  <c r="IZ55" s="1"/>
  <c r="IW53"/>
  <c r="JD53" s="1"/>
  <c r="IZ53" s="1"/>
  <c r="IW56"/>
  <c r="JD56" s="1"/>
  <c r="IZ56" s="1"/>
  <c r="IW57"/>
  <c r="JD57" s="1"/>
  <c r="IZ57" s="1"/>
  <c r="IW54"/>
  <c r="JD54" s="1"/>
  <c r="IZ54" s="1"/>
  <c r="FT46"/>
  <c r="FT47"/>
  <c r="OX47"/>
  <c r="OX46"/>
  <c r="FF47"/>
  <c r="FF46"/>
  <c r="GV46"/>
  <c r="GV47"/>
  <c r="LR47"/>
  <c r="LR46"/>
  <c r="CN46"/>
  <c r="CN47"/>
  <c r="ER47"/>
  <c r="ER46"/>
  <c r="KB46"/>
  <c r="KB47"/>
  <c r="HX47"/>
  <c r="HX46"/>
  <c r="QN46"/>
  <c r="QN47"/>
  <c r="DP46"/>
  <c r="DP47"/>
  <c r="AX47"/>
  <c r="AX46"/>
  <c r="KP47"/>
  <c r="KP46"/>
  <c r="RB46"/>
  <c r="RB47"/>
  <c r="PZ47"/>
  <c r="PZ46"/>
  <c r="C101" i="6"/>
  <c r="X100"/>
  <c r="V46" i="17"/>
  <c r="V47"/>
  <c r="TF21"/>
  <c r="TF31"/>
  <c r="AG1263" i="6"/>
  <c r="AH1263" s="1"/>
  <c r="Q41" i="16" s="1"/>
  <c r="P41"/>
  <c r="AF1246" i="6"/>
  <c r="AE1233"/>
  <c r="SR34" i="17" l="1"/>
  <c r="TC34"/>
  <c r="TF34" s="1"/>
  <c r="SL74"/>
  <c r="SR37"/>
  <c r="SR35"/>
  <c r="SL76" s="1"/>
  <c r="PZ48"/>
  <c r="RB48"/>
  <c r="KP48"/>
  <c r="QN48"/>
  <c r="HX48"/>
  <c r="KB48"/>
  <c r="ER48"/>
  <c r="CN48"/>
  <c r="LR48"/>
  <c r="GV48"/>
  <c r="FF48"/>
  <c r="DB48"/>
  <c r="MF48"/>
  <c r="MT48"/>
  <c r="JH77"/>
  <c r="JN43"/>
  <c r="IF77"/>
  <c r="IL43"/>
  <c r="RJ77"/>
  <c r="RP43"/>
  <c r="IZ59"/>
  <c r="AX48"/>
  <c r="DP48"/>
  <c r="OX48"/>
  <c r="FT48"/>
  <c r="BL48"/>
  <c r="ED48"/>
  <c r="LD48"/>
  <c r="PL48"/>
  <c r="NH46"/>
  <c r="NH47"/>
  <c r="BZ47"/>
  <c r="BZ46"/>
  <c r="SD46"/>
  <c r="SD47"/>
  <c r="GH46"/>
  <c r="GH47"/>
  <c r="OJ46"/>
  <c r="OJ47"/>
  <c r="NV46"/>
  <c r="NV47"/>
  <c r="HJ46"/>
  <c r="HJ47"/>
  <c r="C102" i="6"/>
  <c r="X101"/>
  <c r="V48" i="17"/>
  <c r="TF35"/>
  <c r="SZ76" s="1"/>
  <c r="SZ74"/>
  <c r="AG1246" i="6"/>
  <c r="AH1246" s="1"/>
  <c r="Q40" i="16" s="1"/>
  <c r="P40"/>
  <c r="AF1233" i="6"/>
  <c r="AE1218"/>
  <c r="AE1204"/>
  <c r="SR40" i="17" l="1"/>
  <c r="SR41" s="1"/>
  <c r="SL77" s="1"/>
  <c r="SR43"/>
  <c r="NV48"/>
  <c r="GH48"/>
  <c r="NH48"/>
  <c r="PF78"/>
  <c r="PL50"/>
  <c r="KX78"/>
  <c r="LD50"/>
  <c r="DX78"/>
  <c r="ED50"/>
  <c r="BF78"/>
  <c r="BL50"/>
  <c r="FN78"/>
  <c r="FT50"/>
  <c r="OR78"/>
  <c r="OX50"/>
  <c r="DJ78"/>
  <c r="DP50"/>
  <c r="AR78"/>
  <c r="AX50"/>
  <c r="RP46"/>
  <c r="RP47"/>
  <c r="IL47"/>
  <c r="IL46"/>
  <c r="JN47"/>
  <c r="JN46"/>
  <c r="MN78"/>
  <c r="MT50"/>
  <c r="LZ78"/>
  <c r="MF50"/>
  <c r="CV78"/>
  <c r="DB50"/>
  <c r="EZ78"/>
  <c r="FF50"/>
  <c r="GP78"/>
  <c r="GV50"/>
  <c r="LL78"/>
  <c r="LR50"/>
  <c r="CH78"/>
  <c r="CN50"/>
  <c r="EL78"/>
  <c r="ER50"/>
  <c r="JV78"/>
  <c r="KB50"/>
  <c r="HR78"/>
  <c r="HX50"/>
  <c r="QH78"/>
  <c r="QN50"/>
  <c r="KJ78"/>
  <c r="KP50"/>
  <c r="QV78"/>
  <c r="RB50"/>
  <c r="PT78"/>
  <c r="PZ50"/>
  <c r="HJ48"/>
  <c r="OJ48"/>
  <c r="SD48"/>
  <c r="BZ48"/>
  <c r="IT79"/>
  <c r="IY59"/>
  <c r="IZ61"/>
  <c r="X102" i="6"/>
  <c r="X2" s="1"/>
  <c r="P78" i="17"/>
  <c r="V50"/>
  <c r="AG1233" i="6"/>
  <c r="AH1233" s="1"/>
  <c r="Q39" i="16" s="1"/>
  <c r="P39"/>
  <c r="AF1204" i="6"/>
  <c r="AF1218"/>
  <c r="AE1185"/>
  <c r="SR46" i="17" l="1"/>
  <c r="SR47"/>
  <c r="IZ63"/>
  <c r="PW57"/>
  <c r="QD57" s="1"/>
  <c r="PZ57" s="1"/>
  <c r="PW55"/>
  <c r="QD55" s="1"/>
  <c r="PZ55" s="1"/>
  <c r="PW56"/>
  <c r="QD56" s="1"/>
  <c r="PZ56" s="1"/>
  <c r="PW54"/>
  <c r="QD54" s="1"/>
  <c r="PZ54" s="1"/>
  <c r="PW53"/>
  <c r="QD53" s="1"/>
  <c r="PZ53" s="1"/>
  <c r="QY57"/>
  <c r="RF57" s="1"/>
  <c r="RB57" s="1"/>
  <c r="QY53"/>
  <c r="RF53" s="1"/>
  <c r="RB53" s="1"/>
  <c r="QY54"/>
  <c r="RF54" s="1"/>
  <c r="RB54" s="1"/>
  <c r="QY55"/>
  <c r="RF55" s="1"/>
  <c r="RB55" s="1"/>
  <c r="QY56"/>
  <c r="RF56" s="1"/>
  <c r="RB56" s="1"/>
  <c r="KM57"/>
  <c r="KT57" s="1"/>
  <c r="KP57" s="1"/>
  <c r="KM56"/>
  <c r="KT56" s="1"/>
  <c r="KP56" s="1"/>
  <c r="KM54"/>
  <c r="KT54" s="1"/>
  <c r="KP54" s="1"/>
  <c r="KM55"/>
  <c r="KT55" s="1"/>
  <c r="KP55" s="1"/>
  <c r="KM53"/>
  <c r="KT53" s="1"/>
  <c r="KP53" s="1"/>
  <c r="QK57"/>
  <c r="QR57" s="1"/>
  <c r="QN57" s="1"/>
  <c r="QK54"/>
  <c r="QR54" s="1"/>
  <c r="QN54" s="1"/>
  <c r="QK56"/>
  <c r="QR56" s="1"/>
  <c r="QN56" s="1"/>
  <c r="QK53"/>
  <c r="QR53" s="1"/>
  <c r="QN53" s="1"/>
  <c r="QK55"/>
  <c r="QR55" s="1"/>
  <c r="QN55" s="1"/>
  <c r="HU57"/>
  <c r="IB57" s="1"/>
  <c r="HX57" s="1"/>
  <c r="HU56"/>
  <c r="IB56" s="1"/>
  <c r="HX56" s="1"/>
  <c r="HU53"/>
  <c r="IB53" s="1"/>
  <c r="HX53" s="1"/>
  <c r="HU55"/>
  <c r="IB55" s="1"/>
  <c r="HX55" s="1"/>
  <c r="HU54"/>
  <c r="IB54" s="1"/>
  <c r="HX54" s="1"/>
  <c r="JY56"/>
  <c r="KF56" s="1"/>
  <c r="KB56" s="1"/>
  <c r="JY53"/>
  <c r="KF53" s="1"/>
  <c r="KB53" s="1"/>
  <c r="JY54"/>
  <c r="KF54" s="1"/>
  <c r="KB54" s="1"/>
  <c r="JY55"/>
  <c r="KF55" s="1"/>
  <c r="KB55" s="1"/>
  <c r="JY57"/>
  <c r="KF57" s="1"/>
  <c r="KB57" s="1"/>
  <c r="EO53"/>
  <c r="EV53" s="1"/>
  <c r="ER53" s="1"/>
  <c r="EO57"/>
  <c r="EV57" s="1"/>
  <c r="ER57" s="1"/>
  <c r="EO55"/>
  <c r="EV55" s="1"/>
  <c r="ER55" s="1"/>
  <c r="EO54"/>
  <c r="EV54" s="1"/>
  <c r="ER54" s="1"/>
  <c r="EO56"/>
  <c r="EV56" s="1"/>
  <c r="ER56" s="1"/>
  <c r="CK57"/>
  <c r="CR57" s="1"/>
  <c r="CN57" s="1"/>
  <c r="CK55"/>
  <c r="CR55" s="1"/>
  <c r="CN55" s="1"/>
  <c r="CK56"/>
  <c r="CR56" s="1"/>
  <c r="CN56" s="1"/>
  <c r="CK54"/>
  <c r="CR54" s="1"/>
  <c r="CN54" s="1"/>
  <c r="CK53"/>
  <c r="CR53" s="1"/>
  <c r="CN53" s="1"/>
  <c r="LO57"/>
  <c r="LV57" s="1"/>
  <c r="LR57" s="1"/>
  <c r="LO55"/>
  <c r="LV55" s="1"/>
  <c r="LR55" s="1"/>
  <c r="LO56"/>
  <c r="LV56" s="1"/>
  <c r="LR56" s="1"/>
  <c r="LO54"/>
  <c r="LV54" s="1"/>
  <c r="LR54" s="1"/>
  <c r="LO53"/>
  <c r="LV53" s="1"/>
  <c r="LR53" s="1"/>
  <c r="LR59" s="1"/>
  <c r="GS57"/>
  <c r="GZ57" s="1"/>
  <c r="GV57" s="1"/>
  <c r="GS55"/>
  <c r="GZ55" s="1"/>
  <c r="GV55" s="1"/>
  <c r="GS56"/>
  <c r="GZ56" s="1"/>
  <c r="GV56" s="1"/>
  <c r="GS54"/>
  <c r="GZ54" s="1"/>
  <c r="GV54" s="1"/>
  <c r="GS53"/>
  <c r="GZ53" s="1"/>
  <c r="GV53" s="1"/>
  <c r="FC55"/>
  <c r="FJ55" s="1"/>
  <c r="FF55" s="1"/>
  <c r="FC56"/>
  <c r="FJ56" s="1"/>
  <c r="FF56" s="1"/>
  <c r="FC54"/>
  <c r="FJ54" s="1"/>
  <c r="FF54" s="1"/>
  <c r="FC57"/>
  <c r="FJ57" s="1"/>
  <c r="FF57" s="1"/>
  <c r="FC53"/>
  <c r="FJ53" s="1"/>
  <c r="FF53" s="1"/>
  <c r="CY57"/>
  <c r="DF57" s="1"/>
  <c r="DB57" s="1"/>
  <c r="CY54"/>
  <c r="DF54" s="1"/>
  <c r="DB54" s="1"/>
  <c r="CY53"/>
  <c r="DF53" s="1"/>
  <c r="DB53" s="1"/>
  <c r="CY56"/>
  <c r="DF56" s="1"/>
  <c r="DB56" s="1"/>
  <c r="CY55"/>
  <c r="DF55" s="1"/>
  <c r="DB55" s="1"/>
  <c r="MC57"/>
  <c r="MJ57" s="1"/>
  <c r="MF57" s="1"/>
  <c r="MC53"/>
  <c r="MJ53" s="1"/>
  <c r="MF53" s="1"/>
  <c r="MC56"/>
  <c r="MJ56" s="1"/>
  <c r="MF56" s="1"/>
  <c r="MC55"/>
  <c r="MJ55" s="1"/>
  <c r="MF55" s="1"/>
  <c r="MC54"/>
  <c r="MJ54" s="1"/>
  <c r="MF54" s="1"/>
  <c r="MQ57"/>
  <c r="MX57" s="1"/>
  <c r="MT57" s="1"/>
  <c r="MQ56"/>
  <c r="MX56" s="1"/>
  <c r="MT56" s="1"/>
  <c r="MQ53"/>
  <c r="MX53" s="1"/>
  <c r="MT53" s="1"/>
  <c r="MQ55"/>
  <c r="MX55" s="1"/>
  <c r="MT55" s="1"/>
  <c r="MQ54"/>
  <c r="MX54" s="1"/>
  <c r="MT54" s="1"/>
  <c r="IL48"/>
  <c r="RP48"/>
  <c r="NB78"/>
  <c r="NH50"/>
  <c r="GB78"/>
  <c r="GH50"/>
  <c r="NP78"/>
  <c r="NV50"/>
  <c r="X1275" i="6"/>
  <c r="H24" i="17"/>
  <c r="BT78"/>
  <c r="BZ50"/>
  <c r="RX78"/>
  <c r="SD50"/>
  <c r="OD78"/>
  <c r="OJ50"/>
  <c r="HD78"/>
  <c r="HJ50"/>
  <c r="JN48"/>
  <c r="AU54"/>
  <c r="BB54" s="1"/>
  <c r="AX54" s="1"/>
  <c r="AU55"/>
  <c r="BB55" s="1"/>
  <c r="AX55" s="1"/>
  <c r="AU56"/>
  <c r="BB56" s="1"/>
  <c r="AX56" s="1"/>
  <c r="AU57"/>
  <c r="BB57" s="1"/>
  <c r="AX57" s="1"/>
  <c r="AU53"/>
  <c r="BB53" s="1"/>
  <c r="AX53" s="1"/>
  <c r="DM57"/>
  <c r="DT57" s="1"/>
  <c r="DP57" s="1"/>
  <c r="DM56"/>
  <c r="DT56" s="1"/>
  <c r="DP56" s="1"/>
  <c r="DM53"/>
  <c r="DT53" s="1"/>
  <c r="DP53" s="1"/>
  <c r="DM55"/>
  <c r="DT55" s="1"/>
  <c r="DP55" s="1"/>
  <c r="DM54"/>
  <c r="DT54" s="1"/>
  <c r="DP54" s="1"/>
  <c r="OU57"/>
  <c r="PB57" s="1"/>
  <c r="OX57" s="1"/>
  <c r="OU56"/>
  <c r="PB56" s="1"/>
  <c r="OX56" s="1"/>
  <c r="OU54"/>
  <c r="PB54" s="1"/>
  <c r="OX54" s="1"/>
  <c r="OU55"/>
  <c r="PB55" s="1"/>
  <c r="OX55" s="1"/>
  <c r="OU53"/>
  <c r="PB53" s="1"/>
  <c r="OX53" s="1"/>
  <c r="FQ56"/>
  <c r="FX56" s="1"/>
  <c r="FT56" s="1"/>
  <c r="FQ55"/>
  <c r="FX55" s="1"/>
  <c r="FT55" s="1"/>
  <c r="FQ53"/>
  <c r="FX53" s="1"/>
  <c r="FT53" s="1"/>
  <c r="FQ54"/>
  <c r="FX54" s="1"/>
  <c r="FT54" s="1"/>
  <c r="FQ57"/>
  <c r="FX57" s="1"/>
  <c r="FT57" s="1"/>
  <c r="BI57"/>
  <c r="BP57" s="1"/>
  <c r="BL57" s="1"/>
  <c r="BI53"/>
  <c r="BP53" s="1"/>
  <c r="BL53" s="1"/>
  <c r="BI54"/>
  <c r="BP54" s="1"/>
  <c r="BL54" s="1"/>
  <c r="BI55"/>
  <c r="BP55" s="1"/>
  <c r="BL55" s="1"/>
  <c r="BI56"/>
  <c r="BP56" s="1"/>
  <c r="BL56" s="1"/>
  <c r="EA53"/>
  <c r="EH53" s="1"/>
  <c r="ED53" s="1"/>
  <c r="EA56"/>
  <c r="EH56" s="1"/>
  <c r="ED56" s="1"/>
  <c r="EA57"/>
  <c r="EH57" s="1"/>
  <c r="ED57" s="1"/>
  <c r="EA54"/>
  <c r="EH54" s="1"/>
  <c r="ED54" s="1"/>
  <c r="EA55"/>
  <c r="EH55" s="1"/>
  <c r="ED55" s="1"/>
  <c r="LA57"/>
  <c r="LH57" s="1"/>
  <c r="LD57" s="1"/>
  <c r="LA55"/>
  <c r="LH55" s="1"/>
  <c r="LD55" s="1"/>
  <c r="LA54"/>
  <c r="LH54" s="1"/>
  <c r="LD54" s="1"/>
  <c r="LA56"/>
  <c r="LH56" s="1"/>
  <c r="LD56" s="1"/>
  <c r="LA53"/>
  <c r="LH53" s="1"/>
  <c r="LD53" s="1"/>
  <c r="PI57"/>
  <c r="PP57" s="1"/>
  <c r="PL57" s="1"/>
  <c r="PI53"/>
  <c r="PP53" s="1"/>
  <c r="PL53" s="1"/>
  <c r="PI55"/>
  <c r="PP55" s="1"/>
  <c r="PL55" s="1"/>
  <c r="PI56"/>
  <c r="PP56" s="1"/>
  <c r="PL56" s="1"/>
  <c r="PI54"/>
  <c r="PP54" s="1"/>
  <c r="PL54" s="1"/>
  <c r="H34" i="9"/>
  <c r="I4" i="16"/>
  <c r="I9" s="1"/>
  <c r="I42" s="1"/>
  <c r="AE2" i="6"/>
  <c r="S57" i="17"/>
  <c r="S56"/>
  <c r="S55"/>
  <c r="S53"/>
  <c r="Z53" s="1"/>
  <c r="V53" s="1"/>
  <c r="S54"/>
  <c r="AG1218" i="6"/>
  <c r="AH1218" s="1"/>
  <c r="Q38" i="16" s="1"/>
  <c r="P38"/>
  <c r="AG1204" i="6"/>
  <c r="AH1204" s="1"/>
  <c r="Q37" i="16" s="1"/>
  <c r="P37"/>
  <c r="AF1185" i="6"/>
  <c r="AE1169"/>
  <c r="AE1145"/>
  <c r="KP59" i="17" l="1"/>
  <c r="SR48"/>
  <c r="LD59"/>
  <c r="OX59"/>
  <c r="AX59"/>
  <c r="AR79" s="1"/>
  <c r="PZ59"/>
  <c r="GV59"/>
  <c r="GP79" s="1"/>
  <c r="CN59"/>
  <c r="FF59"/>
  <c r="FE59" s="1"/>
  <c r="KX79"/>
  <c r="LC59"/>
  <c r="OW59"/>
  <c r="OR79"/>
  <c r="AW59"/>
  <c r="JH78"/>
  <c r="JN50"/>
  <c r="RJ78"/>
  <c r="RP50"/>
  <c r="IF78"/>
  <c r="IL50"/>
  <c r="GU59"/>
  <c r="LQ59"/>
  <c r="LL79"/>
  <c r="CH79"/>
  <c r="CM59"/>
  <c r="KO59"/>
  <c r="KJ79"/>
  <c r="PY59"/>
  <c r="PT79"/>
  <c r="IT80"/>
  <c r="ED59"/>
  <c r="FT59"/>
  <c r="DP59"/>
  <c r="MT59"/>
  <c r="DB59"/>
  <c r="ER59"/>
  <c r="HX59"/>
  <c r="HG53"/>
  <c r="HN53" s="1"/>
  <c r="HJ53" s="1"/>
  <c r="HG54"/>
  <c r="HN54" s="1"/>
  <c r="HJ54" s="1"/>
  <c r="HG56"/>
  <c r="HN56" s="1"/>
  <c r="HJ56" s="1"/>
  <c r="HG57"/>
  <c r="HN57" s="1"/>
  <c r="HJ57" s="1"/>
  <c r="HG55"/>
  <c r="HN55" s="1"/>
  <c r="HJ55" s="1"/>
  <c r="OG54"/>
  <c r="ON54" s="1"/>
  <c r="OJ54" s="1"/>
  <c r="OG53"/>
  <c r="ON53" s="1"/>
  <c r="OJ53" s="1"/>
  <c r="OG55"/>
  <c r="ON55" s="1"/>
  <c r="OJ55" s="1"/>
  <c r="OG56"/>
  <c r="ON56" s="1"/>
  <c r="OJ56" s="1"/>
  <c r="OG57"/>
  <c r="ON57" s="1"/>
  <c r="OJ57" s="1"/>
  <c r="SA57"/>
  <c r="SH57" s="1"/>
  <c r="SD57" s="1"/>
  <c r="SA54"/>
  <c r="SH54" s="1"/>
  <c r="SD54" s="1"/>
  <c r="SA55"/>
  <c r="SH55" s="1"/>
  <c r="SD55" s="1"/>
  <c r="SA53"/>
  <c r="SH53" s="1"/>
  <c r="SD53" s="1"/>
  <c r="SA56"/>
  <c r="SH56" s="1"/>
  <c r="SD56" s="1"/>
  <c r="BW55"/>
  <c r="CD55" s="1"/>
  <c r="BZ55" s="1"/>
  <c r="BW56"/>
  <c r="CD56" s="1"/>
  <c r="BZ56" s="1"/>
  <c r="BW54"/>
  <c r="CD54" s="1"/>
  <c r="BZ54" s="1"/>
  <c r="BW57"/>
  <c r="CD57" s="1"/>
  <c r="BZ57" s="1"/>
  <c r="BW53"/>
  <c r="CD53" s="1"/>
  <c r="BZ53" s="1"/>
  <c r="H26"/>
  <c r="AJ24"/>
  <c r="AJ26" s="1"/>
  <c r="TF24"/>
  <c r="TF26" s="1"/>
  <c r="NS57"/>
  <c r="NZ57" s="1"/>
  <c r="NV57" s="1"/>
  <c r="NS55"/>
  <c r="NZ55" s="1"/>
  <c r="NV55" s="1"/>
  <c r="NS56"/>
  <c r="NZ56" s="1"/>
  <c r="NV56" s="1"/>
  <c r="NS53"/>
  <c r="NZ53" s="1"/>
  <c r="NV53" s="1"/>
  <c r="NS54"/>
  <c r="NZ54" s="1"/>
  <c r="NV54" s="1"/>
  <c r="GE56"/>
  <c r="GL56" s="1"/>
  <c r="GH56" s="1"/>
  <c r="GE53"/>
  <c r="GL53" s="1"/>
  <c r="GH53" s="1"/>
  <c r="GE55"/>
  <c r="GL55" s="1"/>
  <c r="GH55" s="1"/>
  <c r="GE57"/>
  <c r="GL57" s="1"/>
  <c r="GH57" s="1"/>
  <c r="GE54"/>
  <c r="GL54" s="1"/>
  <c r="GH54" s="1"/>
  <c r="NE57"/>
  <c r="NL57" s="1"/>
  <c r="NH57" s="1"/>
  <c r="NE55"/>
  <c r="NL55" s="1"/>
  <c r="NH55" s="1"/>
  <c r="NE56"/>
  <c r="NL56" s="1"/>
  <c r="NH56" s="1"/>
  <c r="NE53"/>
  <c r="NL53" s="1"/>
  <c r="NH53" s="1"/>
  <c r="NE54"/>
  <c r="NL54" s="1"/>
  <c r="NH54" s="1"/>
  <c r="PL59"/>
  <c r="LD61"/>
  <c r="LD63" s="1"/>
  <c r="BL59"/>
  <c r="OX61"/>
  <c r="AX61"/>
  <c r="AX63" s="1"/>
  <c r="MF59"/>
  <c r="FF61"/>
  <c r="LR61"/>
  <c r="LR63" s="1"/>
  <c r="CN61"/>
  <c r="KB59"/>
  <c r="QN59"/>
  <c r="KP61"/>
  <c r="RB59"/>
  <c r="PZ61"/>
  <c r="PZ63" s="1"/>
  <c r="IZ65"/>
  <c r="AF2" i="6"/>
  <c r="H33" i="9"/>
  <c r="H103" s="1"/>
  <c r="H29" i="15" s="1"/>
  <c r="G34" i="9"/>
  <c r="AG1185" i="6"/>
  <c r="AH1185" s="1"/>
  <c r="Q36" i="16" s="1"/>
  <c r="P36"/>
  <c r="AF1169" i="6"/>
  <c r="AF1145"/>
  <c r="AE1119"/>
  <c r="SR50" i="17" l="1"/>
  <c r="SL78"/>
  <c r="GV61"/>
  <c r="GV63" s="1"/>
  <c r="GP80" s="1"/>
  <c r="EZ79"/>
  <c r="NV59"/>
  <c r="NV61" s="1"/>
  <c r="NV63" s="1"/>
  <c r="NV65" s="1"/>
  <c r="BZ59"/>
  <c r="IZ67"/>
  <c r="JE32"/>
  <c r="JE17"/>
  <c r="JE16"/>
  <c r="JE33"/>
  <c r="JE19"/>
  <c r="JE20"/>
  <c r="JE18"/>
  <c r="JE24"/>
  <c r="JE25"/>
  <c r="JE30"/>
  <c r="JE31"/>
  <c r="JE34"/>
  <c r="JE40"/>
  <c r="JE46"/>
  <c r="JE59"/>
  <c r="QV79"/>
  <c r="RA59"/>
  <c r="RB61"/>
  <c r="QH79"/>
  <c r="QM59"/>
  <c r="QN61"/>
  <c r="QN63" s="1"/>
  <c r="CN63"/>
  <c r="CH80" s="1"/>
  <c r="CI87" s="1"/>
  <c r="CH87" s="1"/>
  <c r="LZ79"/>
  <c r="ME59"/>
  <c r="MF61"/>
  <c r="OX63"/>
  <c r="OR80" s="1"/>
  <c r="LD65"/>
  <c r="KX80"/>
  <c r="LI63"/>
  <c r="AD75"/>
  <c r="AJ37"/>
  <c r="B75"/>
  <c r="H37"/>
  <c r="HW59"/>
  <c r="HR79"/>
  <c r="HX61"/>
  <c r="CV79"/>
  <c r="DA59"/>
  <c r="DB61"/>
  <c r="DB63" s="1"/>
  <c r="DO59"/>
  <c r="DJ79"/>
  <c r="DP61"/>
  <c r="DP63" s="1"/>
  <c r="DX79"/>
  <c r="EC59"/>
  <c r="ED61"/>
  <c r="ED63" s="1"/>
  <c r="IU86"/>
  <c r="IT86" s="1"/>
  <c r="IU91"/>
  <c r="IT91" s="1"/>
  <c r="IU90"/>
  <c r="IT90" s="1"/>
  <c r="IU85"/>
  <c r="IU88"/>
  <c r="IT88" s="1"/>
  <c r="IU89"/>
  <c r="IT89" s="1"/>
  <c r="IU87"/>
  <c r="IT87" s="1"/>
  <c r="IT81"/>
  <c r="JK53"/>
  <c r="JR53" s="1"/>
  <c r="JN53" s="1"/>
  <c r="JK55"/>
  <c r="JR55" s="1"/>
  <c r="JN55" s="1"/>
  <c r="JK57"/>
  <c r="JR57" s="1"/>
  <c r="JN57" s="1"/>
  <c r="JK54"/>
  <c r="JR54" s="1"/>
  <c r="JN54" s="1"/>
  <c r="JK56"/>
  <c r="JR56" s="1"/>
  <c r="JN56" s="1"/>
  <c r="OR81"/>
  <c r="OS85"/>
  <c r="OS86"/>
  <c r="OR86" s="1"/>
  <c r="OS91"/>
  <c r="OR91" s="1"/>
  <c r="OS90"/>
  <c r="OR90" s="1"/>
  <c r="OS87"/>
  <c r="OR87" s="1"/>
  <c r="OS88"/>
  <c r="OR88" s="1"/>
  <c r="OS89"/>
  <c r="OR89" s="1"/>
  <c r="KY90"/>
  <c r="KX90" s="1"/>
  <c r="KY87"/>
  <c r="KX87" s="1"/>
  <c r="KY91"/>
  <c r="KX91" s="1"/>
  <c r="KY88"/>
  <c r="KX88" s="1"/>
  <c r="KY89"/>
  <c r="KX89" s="1"/>
  <c r="KX81"/>
  <c r="KY85"/>
  <c r="KY86"/>
  <c r="KX86" s="1"/>
  <c r="NH59"/>
  <c r="SD59"/>
  <c r="OJ59"/>
  <c r="PZ65"/>
  <c r="PT80"/>
  <c r="PU85" s="1"/>
  <c r="KP63"/>
  <c r="KP65" s="1"/>
  <c r="KA59"/>
  <c r="JV79"/>
  <c r="KB61"/>
  <c r="LR65"/>
  <c r="LW63" s="1"/>
  <c r="LL80"/>
  <c r="LM87" s="1"/>
  <c r="LL87" s="1"/>
  <c r="FF63"/>
  <c r="AX65"/>
  <c r="AR80"/>
  <c r="AS88" s="1"/>
  <c r="AR88" s="1"/>
  <c r="BC63"/>
  <c r="BK59"/>
  <c r="BF79"/>
  <c r="BL61"/>
  <c r="BL63" s="1"/>
  <c r="PK59"/>
  <c r="PF79"/>
  <c r="PL61"/>
  <c r="NU59"/>
  <c r="SZ75"/>
  <c r="TF37"/>
  <c r="BZ61"/>
  <c r="BZ63" s="1"/>
  <c r="BY59"/>
  <c r="BT79"/>
  <c r="EL79"/>
  <c r="EQ59"/>
  <c r="ER61"/>
  <c r="MN79"/>
  <c r="MS59"/>
  <c r="MT61"/>
  <c r="MT63" s="1"/>
  <c r="FS59"/>
  <c r="FN79"/>
  <c r="FT61"/>
  <c r="CI89"/>
  <c r="CH89" s="1"/>
  <c r="CI88"/>
  <c r="CH88" s="1"/>
  <c r="CI90"/>
  <c r="CH90" s="1"/>
  <c r="CH81"/>
  <c r="LM90"/>
  <c r="LL90" s="1"/>
  <c r="LM88"/>
  <c r="LL88" s="1"/>
  <c r="LM86"/>
  <c r="LL86" s="1"/>
  <c r="II53"/>
  <c r="IP53" s="1"/>
  <c r="IL53" s="1"/>
  <c r="II56"/>
  <c r="IP56" s="1"/>
  <c r="IL56" s="1"/>
  <c r="II57"/>
  <c r="IP57" s="1"/>
  <c r="IL57" s="1"/>
  <c r="II54"/>
  <c r="IP54" s="1"/>
  <c r="IL54" s="1"/>
  <c r="II55"/>
  <c r="IP55" s="1"/>
  <c r="IL55" s="1"/>
  <c r="RM53"/>
  <c r="RT53" s="1"/>
  <c r="RP53" s="1"/>
  <c r="RM56"/>
  <c r="RT56" s="1"/>
  <c r="RP56" s="1"/>
  <c r="RM57"/>
  <c r="RT57" s="1"/>
  <c r="RP57" s="1"/>
  <c r="RM54"/>
  <c r="RT54" s="1"/>
  <c r="RP54" s="1"/>
  <c r="RM55"/>
  <c r="RT55" s="1"/>
  <c r="RP55" s="1"/>
  <c r="GH59"/>
  <c r="HJ59"/>
  <c r="JE63"/>
  <c r="P4" i="16"/>
  <c r="P9" s="1"/>
  <c r="AG2" i="6"/>
  <c r="AG1169"/>
  <c r="AH1169" s="1"/>
  <c r="Q35" i="16" s="1"/>
  <c r="P35"/>
  <c r="AG1145" i="6"/>
  <c r="AH1145" s="1"/>
  <c r="Q34" i="16" s="1"/>
  <c r="P34"/>
  <c r="AF1119" i="6"/>
  <c r="AE1095"/>
  <c r="AE1038"/>
  <c r="SO54" i="17" l="1"/>
  <c r="SV54" s="1"/>
  <c r="SR54" s="1"/>
  <c r="SO57"/>
  <c r="SV57" s="1"/>
  <c r="SR57" s="1"/>
  <c r="SO53"/>
  <c r="SV53" s="1"/>
  <c r="SR53" s="1"/>
  <c r="SO55"/>
  <c r="SV55" s="1"/>
  <c r="SR55" s="1"/>
  <c r="SO56"/>
  <c r="SV56" s="1"/>
  <c r="SR56" s="1"/>
  <c r="LM89"/>
  <c r="LL89" s="1"/>
  <c r="GQ91"/>
  <c r="GP91" s="1"/>
  <c r="GQ86"/>
  <c r="GP86" s="1"/>
  <c r="GP81"/>
  <c r="GQ88"/>
  <c r="GP88" s="1"/>
  <c r="GQ90"/>
  <c r="GP90" s="1"/>
  <c r="GQ87"/>
  <c r="GP87" s="1"/>
  <c r="GQ85"/>
  <c r="GP85" s="1"/>
  <c r="GQ89"/>
  <c r="GP89" s="1"/>
  <c r="LM85"/>
  <c r="LM91"/>
  <c r="LL91" s="1"/>
  <c r="LL81"/>
  <c r="CI86"/>
  <c r="CH86" s="1"/>
  <c r="CI91"/>
  <c r="CH91" s="1"/>
  <c r="CI85"/>
  <c r="NP79"/>
  <c r="PT85"/>
  <c r="BZ65"/>
  <c r="BT80"/>
  <c r="BU85" s="1"/>
  <c r="NV67"/>
  <c r="OA32"/>
  <c r="OA33"/>
  <c r="OA24"/>
  <c r="OA19"/>
  <c r="OA18"/>
  <c r="OA20"/>
  <c r="OA17"/>
  <c r="OA30"/>
  <c r="OA16"/>
  <c r="OA25"/>
  <c r="OA31"/>
  <c r="OA34"/>
  <c r="OA40"/>
  <c r="OA46"/>
  <c r="PL63"/>
  <c r="PF80" s="1"/>
  <c r="PG88" s="1"/>
  <c r="PF88" s="1"/>
  <c r="BL65"/>
  <c r="BF80"/>
  <c r="BG91" s="1"/>
  <c r="BF91" s="1"/>
  <c r="AX67"/>
  <c r="BC32"/>
  <c r="BC33"/>
  <c r="BC19"/>
  <c r="BC24"/>
  <c r="BC17"/>
  <c r="BC20"/>
  <c r="BC18"/>
  <c r="BC25"/>
  <c r="BC30"/>
  <c r="BC16"/>
  <c r="BC34"/>
  <c r="BC31"/>
  <c r="BC40"/>
  <c r="BC46"/>
  <c r="BC59"/>
  <c r="EZ80"/>
  <c r="KB63"/>
  <c r="JV80" s="1"/>
  <c r="JW88" s="1"/>
  <c r="JV88" s="1"/>
  <c r="KP67"/>
  <c r="KU32"/>
  <c r="KU33"/>
  <c r="KU24"/>
  <c r="KU19"/>
  <c r="KU18"/>
  <c r="KU20"/>
  <c r="KU17"/>
  <c r="KU30"/>
  <c r="KU25"/>
  <c r="KU16"/>
  <c r="KU31"/>
  <c r="KU34"/>
  <c r="KU40"/>
  <c r="KU46"/>
  <c r="KU59"/>
  <c r="PZ67"/>
  <c r="QE33"/>
  <c r="QE32"/>
  <c r="QE19"/>
  <c r="QE24"/>
  <c r="QE17"/>
  <c r="QE18"/>
  <c r="QE20"/>
  <c r="QE30"/>
  <c r="QE25"/>
  <c r="QE16"/>
  <c r="QE31"/>
  <c r="QE34"/>
  <c r="QE40"/>
  <c r="QE46"/>
  <c r="QE59"/>
  <c r="SC59"/>
  <c r="RX79"/>
  <c r="SD61"/>
  <c r="NB79"/>
  <c r="NG59"/>
  <c r="NH61"/>
  <c r="NH63" s="1"/>
  <c r="KX85"/>
  <c r="KY92"/>
  <c r="MF63"/>
  <c r="QN65"/>
  <c r="QH80"/>
  <c r="QI85" s="1"/>
  <c r="RB63"/>
  <c r="QV80" s="1"/>
  <c r="AS86"/>
  <c r="AR86" s="1"/>
  <c r="AR81"/>
  <c r="AS87"/>
  <c r="AR87" s="1"/>
  <c r="AS85"/>
  <c r="JN59"/>
  <c r="PU90"/>
  <c r="PT90" s="1"/>
  <c r="PU88"/>
  <c r="PT88" s="1"/>
  <c r="PT81"/>
  <c r="PU87"/>
  <c r="PT87" s="1"/>
  <c r="OX65"/>
  <c r="GV65"/>
  <c r="CN65"/>
  <c r="JE65"/>
  <c r="GH61"/>
  <c r="GB79"/>
  <c r="GG59"/>
  <c r="GQ92"/>
  <c r="HI59"/>
  <c r="HD79"/>
  <c r="HJ61"/>
  <c r="HJ63" s="1"/>
  <c r="LL85"/>
  <c r="CH85"/>
  <c r="CI92"/>
  <c r="FT63"/>
  <c r="FN80" s="1"/>
  <c r="FO88" s="1"/>
  <c r="FN88" s="1"/>
  <c r="MT65"/>
  <c r="MN80"/>
  <c r="MO87" s="1"/>
  <c r="MN87" s="1"/>
  <c r="ER63"/>
  <c r="EL80" s="1"/>
  <c r="EM89" s="1"/>
  <c r="EL89" s="1"/>
  <c r="TF40"/>
  <c r="TF41" s="1"/>
  <c r="SZ77" s="1"/>
  <c r="NP80"/>
  <c r="NQ87" s="1"/>
  <c r="NP87" s="1"/>
  <c r="OA63"/>
  <c r="LR67"/>
  <c r="LW33"/>
  <c r="LW32"/>
  <c r="LW19"/>
  <c r="LW24"/>
  <c r="LW20"/>
  <c r="LW18"/>
  <c r="LW17"/>
  <c r="LW30"/>
  <c r="LW16"/>
  <c r="LW25"/>
  <c r="LW34"/>
  <c r="LW31"/>
  <c r="LW40"/>
  <c r="LW46"/>
  <c r="LW59"/>
  <c r="KJ80"/>
  <c r="KU63"/>
  <c r="OD79"/>
  <c r="OI59"/>
  <c r="OJ61"/>
  <c r="OR85"/>
  <c r="OS92"/>
  <c r="IU92"/>
  <c r="IT85"/>
  <c r="ED65"/>
  <c r="EI63" s="1"/>
  <c r="DX80"/>
  <c r="DY85" s="1"/>
  <c r="DP65"/>
  <c r="DJ80"/>
  <c r="DK85" s="1"/>
  <c r="DU63"/>
  <c r="DB65"/>
  <c r="CV80"/>
  <c r="CV81" s="1"/>
  <c r="DG63"/>
  <c r="HX63"/>
  <c r="H40"/>
  <c r="AJ40"/>
  <c r="AJ41" s="1"/>
  <c r="AD77" s="1"/>
  <c r="LD67"/>
  <c r="LI32"/>
  <c r="LI33"/>
  <c r="LI19"/>
  <c r="LI24"/>
  <c r="LI17"/>
  <c r="LI18"/>
  <c r="LI20"/>
  <c r="LI16"/>
  <c r="LI30"/>
  <c r="LI25"/>
  <c r="LI34"/>
  <c r="LI31"/>
  <c r="LI40"/>
  <c r="LI46"/>
  <c r="LI59"/>
  <c r="QI87"/>
  <c r="QH87" s="1"/>
  <c r="QI89"/>
  <c r="QH89" s="1"/>
  <c r="QH81"/>
  <c r="QI86"/>
  <c r="QH86" s="1"/>
  <c r="QW91"/>
  <c r="QV91" s="1"/>
  <c r="QV81"/>
  <c r="QW88"/>
  <c r="QV88" s="1"/>
  <c r="QW89"/>
  <c r="QV89" s="1"/>
  <c r="QW85"/>
  <c r="QW86"/>
  <c r="QV86" s="1"/>
  <c r="QW87"/>
  <c r="QV87" s="1"/>
  <c r="QW90"/>
  <c r="QV90" s="1"/>
  <c r="RP59"/>
  <c r="IL59"/>
  <c r="OA59"/>
  <c r="FF65"/>
  <c r="FK63" s="1"/>
  <c r="QE63"/>
  <c r="AS89"/>
  <c r="AR89" s="1"/>
  <c r="AS90"/>
  <c r="AR90" s="1"/>
  <c r="AS91"/>
  <c r="AR91" s="1"/>
  <c r="PU86"/>
  <c r="PT86" s="1"/>
  <c r="PU91"/>
  <c r="PT91" s="1"/>
  <c r="PU89"/>
  <c r="PT89" s="1"/>
  <c r="AH2" i="6"/>
  <c r="AG1119"/>
  <c r="AH1119" s="1"/>
  <c r="Q33" i="16" s="1"/>
  <c r="P33"/>
  <c r="AF1095" i="6"/>
  <c r="AF1038"/>
  <c r="AE993"/>
  <c r="SR59" i="17" l="1"/>
  <c r="DK88"/>
  <c r="DJ88" s="1"/>
  <c r="LM92"/>
  <c r="QI91"/>
  <c r="QH91" s="1"/>
  <c r="QI90"/>
  <c r="QH90" s="1"/>
  <c r="QI88"/>
  <c r="QH88" s="1"/>
  <c r="FO86"/>
  <c r="FN86" s="1"/>
  <c r="JW89"/>
  <c r="JV89" s="1"/>
  <c r="DK86"/>
  <c r="DJ86" s="1"/>
  <c r="BG86"/>
  <c r="BF86" s="1"/>
  <c r="FO87"/>
  <c r="FN87" s="1"/>
  <c r="JW86"/>
  <c r="JV86" s="1"/>
  <c r="PG89"/>
  <c r="PF89" s="1"/>
  <c r="DK90"/>
  <c r="DJ90" s="1"/>
  <c r="DK89"/>
  <c r="DJ89" s="1"/>
  <c r="RB65"/>
  <c r="JW87"/>
  <c r="JV87" s="1"/>
  <c r="JW91"/>
  <c r="JV91" s="1"/>
  <c r="BG88"/>
  <c r="BF88" s="1"/>
  <c r="PF81"/>
  <c r="DJ81"/>
  <c r="DK91"/>
  <c r="DJ91" s="1"/>
  <c r="DK87"/>
  <c r="DJ87" s="1"/>
  <c r="TF43"/>
  <c r="ER65"/>
  <c r="ER67" s="1"/>
  <c r="FO89"/>
  <c r="FN89" s="1"/>
  <c r="FO90"/>
  <c r="FN90" s="1"/>
  <c r="FO85"/>
  <c r="JV81"/>
  <c r="JW85"/>
  <c r="JW90"/>
  <c r="JV90" s="1"/>
  <c r="KB65"/>
  <c r="BG89"/>
  <c r="BF89" s="1"/>
  <c r="BG90"/>
  <c r="BF90" s="1"/>
  <c r="PG87"/>
  <c r="PF87" s="1"/>
  <c r="PG91"/>
  <c r="PF91" s="1"/>
  <c r="BT85"/>
  <c r="DX85"/>
  <c r="RO59"/>
  <c r="RJ79"/>
  <c r="RP61"/>
  <c r="QV85"/>
  <c r="QW92"/>
  <c r="QH85"/>
  <c r="QI92"/>
  <c r="H41"/>
  <c r="HR80"/>
  <c r="DJ85"/>
  <c r="DK92"/>
  <c r="DP67"/>
  <c r="DU33"/>
  <c r="DU32"/>
  <c r="DU24"/>
  <c r="DU19"/>
  <c r="DU17"/>
  <c r="DU18"/>
  <c r="DU20"/>
  <c r="DU25"/>
  <c r="DU16"/>
  <c r="DU30"/>
  <c r="DU31"/>
  <c r="DU34"/>
  <c r="DU40"/>
  <c r="DU46"/>
  <c r="DU59"/>
  <c r="OJ63"/>
  <c r="OJ65" s="1"/>
  <c r="TF47"/>
  <c r="TF46"/>
  <c r="EW63"/>
  <c r="EW32"/>
  <c r="EW24"/>
  <c r="EW20"/>
  <c r="EW18"/>
  <c r="EW30"/>
  <c r="EW34"/>
  <c r="EW40"/>
  <c r="EW59"/>
  <c r="MT67"/>
  <c r="MY32"/>
  <c r="MY33"/>
  <c r="MY24"/>
  <c r="MY19"/>
  <c r="MY18"/>
  <c r="MY17"/>
  <c r="MY20"/>
  <c r="MY30"/>
  <c r="MY25"/>
  <c r="MY16"/>
  <c r="MY31"/>
  <c r="MY34"/>
  <c r="MY40"/>
  <c r="MY46"/>
  <c r="MY59"/>
  <c r="FN85"/>
  <c r="GH63"/>
  <c r="CS63"/>
  <c r="CN67"/>
  <c r="CS32"/>
  <c r="CS33"/>
  <c r="CS19"/>
  <c r="CS24"/>
  <c r="CS18"/>
  <c r="CS17"/>
  <c r="CS20"/>
  <c r="CS16"/>
  <c r="CS30"/>
  <c r="CS25"/>
  <c r="CS34"/>
  <c r="CS31"/>
  <c r="CS40"/>
  <c r="CS46"/>
  <c r="CS59"/>
  <c r="PC63"/>
  <c r="OX67"/>
  <c r="PC32"/>
  <c r="PC33"/>
  <c r="PC19"/>
  <c r="PC24"/>
  <c r="PC20"/>
  <c r="PC18"/>
  <c r="PC17"/>
  <c r="PC16"/>
  <c r="PC25"/>
  <c r="PC30"/>
  <c r="PC34"/>
  <c r="PC31"/>
  <c r="PC40"/>
  <c r="PC46"/>
  <c r="PC59"/>
  <c r="AR85"/>
  <c r="AS92"/>
  <c r="RG63"/>
  <c r="RB67"/>
  <c r="RG32"/>
  <c r="RG33"/>
  <c r="RG19"/>
  <c r="RG24"/>
  <c r="RG20"/>
  <c r="RG30"/>
  <c r="RG25"/>
  <c r="RG18"/>
  <c r="RG17"/>
  <c r="RG16"/>
  <c r="RG34"/>
  <c r="RG31"/>
  <c r="RG40"/>
  <c r="RG46"/>
  <c r="RG59"/>
  <c r="QN67"/>
  <c r="QS32"/>
  <c r="QS33"/>
  <c r="QS24"/>
  <c r="QS19"/>
  <c r="QS18"/>
  <c r="QS20"/>
  <c r="QS17"/>
  <c r="QS30"/>
  <c r="QS25"/>
  <c r="QS16"/>
  <c r="QS31"/>
  <c r="QS34"/>
  <c r="QS40"/>
  <c r="QS46"/>
  <c r="QS59"/>
  <c r="LZ80"/>
  <c r="NH65"/>
  <c r="NB80"/>
  <c r="NC86" s="1"/>
  <c r="NB86" s="1"/>
  <c r="NM63"/>
  <c r="SD63"/>
  <c r="SD65" s="1"/>
  <c r="JV85"/>
  <c r="JW92"/>
  <c r="KG63"/>
  <c r="KB67"/>
  <c r="KG33"/>
  <c r="KG32"/>
  <c r="KG24"/>
  <c r="KG19"/>
  <c r="KG20"/>
  <c r="KG18"/>
  <c r="KG17"/>
  <c r="KG16"/>
  <c r="KG30"/>
  <c r="KG25"/>
  <c r="KG31"/>
  <c r="KG34"/>
  <c r="KG40"/>
  <c r="KG46"/>
  <c r="KG59"/>
  <c r="BL67"/>
  <c r="BQ32"/>
  <c r="BQ33"/>
  <c r="BQ24"/>
  <c r="BQ19"/>
  <c r="BQ17"/>
  <c r="BQ18"/>
  <c r="BQ20"/>
  <c r="BQ16"/>
  <c r="BQ30"/>
  <c r="BQ25"/>
  <c r="BQ34"/>
  <c r="BQ31"/>
  <c r="BQ40"/>
  <c r="BQ46"/>
  <c r="BQ59"/>
  <c r="BZ67"/>
  <c r="CE32"/>
  <c r="CE33"/>
  <c r="CE24"/>
  <c r="CE19"/>
  <c r="CE18"/>
  <c r="CE17"/>
  <c r="CE20"/>
  <c r="CE16"/>
  <c r="CE30"/>
  <c r="CE25"/>
  <c r="CE31"/>
  <c r="CE34"/>
  <c r="CE40"/>
  <c r="CE46"/>
  <c r="CE59"/>
  <c r="LI65"/>
  <c r="LW65"/>
  <c r="CW86"/>
  <c r="CV86" s="1"/>
  <c r="CW88"/>
  <c r="CV88" s="1"/>
  <c r="CW90"/>
  <c r="CV90" s="1"/>
  <c r="CW87"/>
  <c r="CV87" s="1"/>
  <c r="DY88"/>
  <c r="DX88" s="1"/>
  <c r="DY89"/>
  <c r="DX89" s="1"/>
  <c r="DY90"/>
  <c r="DX90" s="1"/>
  <c r="DY91"/>
  <c r="DX91" s="1"/>
  <c r="OA65"/>
  <c r="NQ91"/>
  <c r="NP91" s="1"/>
  <c r="NQ86"/>
  <c r="NP86" s="1"/>
  <c r="NQ85"/>
  <c r="NQ89"/>
  <c r="NP89" s="1"/>
  <c r="BU86"/>
  <c r="BT86" s="1"/>
  <c r="BU91"/>
  <c r="BT91" s="1"/>
  <c r="BU90"/>
  <c r="BT90" s="1"/>
  <c r="BT81"/>
  <c r="EM86"/>
  <c r="EL86" s="1"/>
  <c r="EM87"/>
  <c r="EL87" s="1"/>
  <c r="EM91"/>
  <c r="EL91" s="1"/>
  <c r="EM90"/>
  <c r="EL90" s="1"/>
  <c r="MO86"/>
  <c r="MN86" s="1"/>
  <c r="MO91"/>
  <c r="MN91" s="1"/>
  <c r="MO85"/>
  <c r="MO88"/>
  <c r="MN88" s="1"/>
  <c r="FF67"/>
  <c r="FK33"/>
  <c r="FK32"/>
  <c r="FK19"/>
  <c r="FK24"/>
  <c r="FK17"/>
  <c r="FK20"/>
  <c r="FK18"/>
  <c r="FK25"/>
  <c r="FK16"/>
  <c r="FK30"/>
  <c r="FK31"/>
  <c r="FK34"/>
  <c r="FK40"/>
  <c r="FK46"/>
  <c r="FK59"/>
  <c r="IK59"/>
  <c r="IF79"/>
  <c r="IL61"/>
  <c r="IL63" s="1"/>
  <c r="DB67"/>
  <c r="DG32"/>
  <c r="DG33"/>
  <c r="DG19"/>
  <c r="DG24"/>
  <c r="DG20"/>
  <c r="DG18"/>
  <c r="DG17"/>
  <c r="DG25"/>
  <c r="DG16"/>
  <c r="DG30"/>
  <c r="DG31"/>
  <c r="DG34"/>
  <c r="DG40"/>
  <c r="DG46"/>
  <c r="DG59"/>
  <c r="ED67"/>
  <c r="EI32"/>
  <c r="EI33"/>
  <c r="EI24"/>
  <c r="EI19"/>
  <c r="EI20"/>
  <c r="EI18"/>
  <c r="EI17"/>
  <c r="EI16"/>
  <c r="EI30"/>
  <c r="EI25"/>
  <c r="EI34"/>
  <c r="EI31"/>
  <c r="EI40"/>
  <c r="EI46"/>
  <c r="EI59"/>
  <c r="KK88"/>
  <c r="KJ88" s="1"/>
  <c r="KK85"/>
  <c r="KK87"/>
  <c r="KJ87" s="1"/>
  <c r="KK86"/>
  <c r="KJ86" s="1"/>
  <c r="KK90"/>
  <c r="KJ90" s="1"/>
  <c r="KK91"/>
  <c r="KJ91" s="1"/>
  <c r="KJ81"/>
  <c r="KK89"/>
  <c r="KJ89" s="1"/>
  <c r="HJ65"/>
  <c r="HO63" s="1"/>
  <c r="HD80"/>
  <c r="HE88" s="1"/>
  <c r="HD88" s="1"/>
  <c r="HE87"/>
  <c r="HD87" s="1"/>
  <c r="HA63"/>
  <c r="GV67"/>
  <c r="HA32"/>
  <c r="HA33"/>
  <c r="HA24"/>
  <c r="HA19"/>
  <c r="HA20"/>
  <c r="HA18"/>
  <c r="HA17"/>
  <c r="HA25"/>
  <c r="HA16"/>
  <c r="HA30"/>
  <c r="HA34"/>
  <c r="HA31"/>
  <c r="HA40"/>
  <c r="HA46"/>
  <c r="HA59"/>
  <c r="JH79"/>
  <c r="JM59"/>
  <c r="JN61"/>
  <c r="NB81"/>
  <c r="NC89"/>
  <c r="NB89" s="1"/>
  <c r="NC88"/>
  <c r="NB88" s="1"/>
  <c r="NC91"/>
  <c r="NB91" s="1"/>
  <c r="EZ81"/>
  <c r="FA90"/>
  <c r="EZ90" s="1"/>
  <c r="FA87"/>
  <c r="EZ87" s="1"/>
  <c r="FA88"/>
  <c r="EZ88" s="1"/>
  <c r="FA85"/>
  <c r="FA89"/>
  <c r="EZ89" s="1"/>
  <c r="FA91"/>
  <c r="EZ91" s="1"/>
  <c r="FA86"/>
  <c r="EZ86" s="1"/>
  <c r="AJ43"/>
  <c r="HX65"/>
  <c r="MY63"/>
  <c r="FO91"/>
  <c r="FN91" s="1"/>
  <c r="FN81"/>
  <c r="FT65"/>
  <c r="QS63"/>
  <c r="MF65"/>
  <c r="CW91"/>
  <c r="CV91" s="1"/>
  <c r="CW89"/>
  <c r="CV89" s="1"/>
  <c r="CW85"/>
  <c r="DY86"/>
  <c r="DX86" s="1"/>
  <c r="DY87"/>
  <c r="DX87" s="1"/>
  <c r="DX81"/>
  <c r="QE65"/>
  <c r="KU65"/>
  <c r="BC65"/>
  <c r="BG85"/>
  <c r="BG87"/>
  <c r="BF87" s="1"/>
  <c r="BF81"/>
  <c r="BQ63"/>
  <c r="PG85"/>
  <c r="PG86"/>
  <c r="PF86" s="1"/>
  <c r="PG90"/>
  <c r="PF90" s="1"/>
  <c r="PL65"/>
  <c r="NQ88"/>
  <c r="NP88" s="1"/>
  <c r="NP81"/>
  <c r="NQ90"/>
  <c r="NP90" s="1"/>
  <c r="CE63"/>
  <c r="BU89"/>
  <c r="BT89" s="1"/>
  <c r="BU87"/>
  <c r="BT87" s="1"/>
  <c r="BU88"/>
  <c r="BT88" s="1"/>
  <c r="EL81"/>
  <c r="EM85"/>
  <c r="EM88"/>
  <c r="EL88" s="1"/>
  <c r="MO89"/>
  <c r="MN89" s="1"/>
  <c r="MO90"/>
  <c r="MN90" s="1"/>
  <c r="MN81"/>
  <c r="PU92"/>
  <c r="Q4" i="16"/>
  <c r="Q9" s="1"/>
  <c r="AG1095" i="6"/>
  <c r="AH1095" s="1"/>
  <c r="Q32" i="16" s="1"/>
  <c r="P32"/>
  <c r="AG1038" i="6"/>
  <c r="AH1038" s="1"/>
  <c r="Q31" i="16" s="1"/>
  <c r="P31"/>
  <c r="AF993" i="6"/>
  <c r="AE953"/>
  <c r="HE90" i="17" l="1"/>
  <c r="HD90" s="1"/>
  <c r="HE86"/>
  <c r="HD86" s="1"/>
  <c r="HD81"/>
  <c r="SQ59"/>
  <c r="SR61"/>
  <c r="SL79"/>
  <c r="NC87"/>
  <c r="NB87" s="1"/>
  <c r="NC85"/>
  <c r="NC90"/>
  <c r="NB90" s="1"/>
  <c r="EW46"/>
  <c r="EW31"/>
  <c r="EW25"/>
  <c r="EW16"/>
  <c r="EW17"/>
  <c r="EW19"/>
  <c r="EW33"/>
  <c r="TF48"/>
  <c r="HE85"/>
  <c r="HE89"/>
  <c r="HD89" s="1"/>
  <c r="HE91"/>
  <c r="HD91" s="1"/>
  <c r="EM92"/>
  <c r="EL85"/>
  <c r="PG92"/>
  <c r="PF85"/>
  <c r="BF85"/>
  <c r="BG92"/>
  <c r="MF67"/>
  <c r="MK32"/>
  <c r="MK33"/>
  <c r="MK24"/>
  <c r="MK19"/>
  <c r="MK17"/>
  <c r="MK20"/>
  <c r="MK18"/>
  <c r="MK16"/>
  <c r="MK30"/>
  <c r="MK25"/>
  <c r="MK31"/>
  <c r="MK34"/>
  <c r="MK40"/>
  <c r="MK46"/>
  <c r="MK59"/>
  <c r="FY63"/>
  <c r="FT67"/>
  <c r="FY32"/>
  <c r="FY33"/>
  <c r="FY24"/>
  <c r="FY19"/>
  <c r="FY20"/>
  <c r="FY18"/>
  <c r="FY17"/>
  <c r="FY16"/>
  <c r="FY25"/>
  <c r="FY30"/>
  <c r="FY34"/>
  <c r="FY31"/>
  <c r="FY40"/>
  <c r="FY46"/>
  <c r="FY59"/>
  <c r="HX67"/>
  <c r="IC32"/>
  <c r="IC33"/>
  <c r="IC19"/>
  <c r="IC24"/>
  <c r="IC20"/>
  <c r="IC18"/>
  <c r="IC17"/>
  <c r="IC16"/>
  <c r="IC30"/>
  <c r="IC25"/>
  <c r="IC31"/>
  <c r="IC34"/>
  <c r="IC40"/>
  <c r="IC46"/>
  <c r="IC59"/>
  <c r="NB85"/>
  <c r="JN63"/>
  <c r="JN65" s="1"/>
  <c r="HJ67"/>
  <c r="HO32"/>
  <c r="HO33"/>
  <c r="HO24"/>
  <c r="HO19"/>
  <c r="HO20"/>
  <c r="HO18"/>
  <c r="HO17"/>
  <c r="HO30"/>
  <c r="HO16"/>
  <c r="HO25"/>
  <c r="HO31"/>
  <c r="HO34"/>
  <c r="HO40"/>
  <c r="HO46"/>
  <c r="HO59"/>
  <c r="MN85"/>
  <c r="MO92"/>
  <c r="NQ92"/>
  <c r="NP85"/>
  <c r="SD67"/>
  <c r="SI33"/>
  <c r="SI32"/>
  <c r="SI24"/>
  <c r="SI19"/>
  <c r="SI16"/>
  <c r="SI17"/>
  <c r="SI25"/>
  <c r="SI20"/>
  <c r="SI18"/>
  <c r="SI30"/>
  <c r="SI34"/>
  <c r="SI31"/>
  <c r="SI40"/>
  <c r="SI46"/>
  <c r="SI59"/>
  <c r="GB80"/>
  <c r="OJ67"/>
  <c r="OO33"/>
  <c r="OO32"/>
  <c r="OO24"/>
  <c r="OO19"/>
  <c r="OO18"/>
  <c r="OO17"/>
  <c r="OO20"/>
  <c r="OO16"/>
  <c r="OO25"/>
  <c r="OO30"/>
  <c r="OO31"/>
  <c r="OO34"/>
  <c r="OO40"/>
  <c r="OO46"/>
  <c r="OO59"/>
  <c r="HS87"/>
  <c r="HR87" s="1"/>
  <c r="HS89"/>
  <c r="HR89" s="1"/>
  <c r="HS88"/>
  <c r="HR88" s="1"/>
  <c r="HS90"/>
  <c r="HR90" s="1"/>
  <c r="HS85"/>
  <c r="HS86"/>
  <c r="HR86" s="1"/>
  <c r="HS91"/>
  <c r="HR91" s="1"/>
  <c r="HR81"/>
  <c r="B77"/>
  <c r="H43"/>
  <c r="HA65"/>
  <c r="EI65"/>
  <c r="MK63"/>
  <c r="PC65"/>
  <c r="MY65"/>
  <c r="DY92"/>
  <c r="BU92"/>
  <c r="PQ63"/>
  <c r="PL67"/>
  <c r="PQ32"/>
  <c r="PQ33"/>
  <c r="PQ24"/>
  <c r="PQ19"/>
  <c r="PQ17"/>
  <c r="PQ18"/>
  <c r="PQ20"/>
  <c r="PQ30"/>
  <c r="PQ16"/>
  <c r="PQ25"/>
  <c r="PQ34"/>
  <c r="PQ31"/>
  <c r="PQ40"/>
  <c r="PQ46"/>
  <c r="PQ59"/>
  <c r="CW92"/>
  <c r="CV85"/>
  <c r="AJ46"/>
  <c r="AJ47"/>
  <c r="FA92"/>
  <c r="EZ85"/>
  <c r="HD85"/>
  <c r="KK92"/>
  <c r="KJ85"/>
  <c r="IL65"/>
  <c r="IQ63" s="1"/>
  <c r="IF80"/>
  <c r="IG90" s="1"/>
  <c r="IF90" s="1"/>
  <c r="RX80"/>
  <c r="SI63"/>
  <c r="NH67"/>
  <c r="NM32"/>
  <c r="NM33"/>
  <c r="NM24"/>
  <c r="NM19"/>
  <c r="NM18"/>
  <c r="NM20"/>
  <c r="NM17"/>
  <c r="NM16"/>
  <c r="NM30"/>
  <c r="NM25"/>
  <c r="NM31"/>
  <c r="NM34"/>
  <c r="NM40"/>
  <c r="NM46"/>
  <c r="NM59"/>
  <c r="MA91"/>
  <c r="LZ91" s="1"/>
  <c r="MA87"/>
  <c r="LZ87" s="1"/>
  <c r="MA86"/>
  <c r="LZ86" s="1"/>
  <c r="MA89"/>
  <c r="LZ89" s="1"/>
  <c r="LZ81"/>
  <c r="MA88"/>
  <c r="LZ88" s="1"/>
  <c r="MA85"/>
  <c r="MA90"/>
  <c r="LZ90" s="1"/>
  <c r="OD80"/>
  <c r="OO63"/>
  <c r="RP63"/>
  <c r="RJ80" s="1"/>
  <c r="RK87" s="1"/>
  <c r="RJ87" s="1"/>
  <c r="RK85"/>
  <c r="RK91"/>
  <c r="RJ91" s="1"/>
  <c r="DG65"/>
  <c r="FK65"/>
  <c r="CE65"/>
  <c r="BQ65"/>
  <c r="KG65"/>
  <c r="QS65"/>
  <c r="RG65"/>
  <c r="CS65"/>
  <c r="GH65"/>
  <c r="FO92"/>
  <c r="DU65"/>
  <c r="IC63"/>
  <c r="AG993" i="6"/>
  <c r="AH993" s="1"/>
  <c r="Q30" i="16" s="1"/>
  <c r="P30"/>
  <c r="AF953" i="6"/>
  <c r="AE919"/>
  <c r="SR63" i="17" l="1"/>
  <c r="SR65"/>
  <c r="HE92"/>
  <c r="EW65"/>
  <c r="NC92"/>
  <c r="RK89"/>
  <c r="RJ89" s="1"/>
  <c r="RJ81"/>
  <c r="IF81"/>
  <c r="IG85"/>
  <c r="IF85" s="1"/>
  <c r="IG87"/>
  <c r="IF87" s="1"/>
  <c r="RK88"/>
  <c r="RJ88" s="1"/>
  <c r="RK90"/>
  <c r="RJ90" s="1"/>
  <c r="RK86"/>
  <c r="RJ86" s="1"/>
  <c r="RP65"/>
  <c r="IG91"/>
  <c r="IF91" s="1"/>
  <c r="IG89"/>
  <c r="IF89" s="1"/>
  <c r="IG86"/>
  <c r="IF86" s="1"/>
  <c r="IG88"/>
  <c r="IF88" s="1"/>
  <c r="SZ78"/>
  <c r="TF50"/>
  <c r="GH67"/>
  <c r="GM32"/>
  <c r="GM33"/>
  <c r="GM24"/>
  <c r="GM19"/>
  <c r="GM18"/>
  <c r="GM20"/>
  <c r="GM17"/>
  <c r="GM16"/>
  <c r="GM25"/>
  <c r="GM30"/>
  <c r="GM34"/>
  <c r="GM31"/>
  <c r="GM40"/>
  <c r="GM46"/>
  <c r="GM59"/>
  <c r="RJ85"/>
  <c r="OD81"/>
  <c r="OE89"/>
  <c r="OD89" s="1"/>
  <c r="OE86"/>
  <c r="OD86" s="1"/>
  <c r="OE90"/>
  <c r="OD90" s="1"/>
  <c r="OE88"/>
  <c r="OD88" s="1"/>
  <c r="OE91"/>
  <c r="OD91" s="1"/>
  <c r="OE87"/>
  <c r="OD87" s="1"/>
  <c r="OE85"/>
  <c r="LZ85"/>
  <c r="MA92"/>
  <c r="RY90"/>
  <c r="RX90" s="1"/>
  <c r="RY86"/>
  <c r="RX86" s="1"/>
  <c r="RY89"/>
  <c r="RX89" s="1"/>
  <c r="RY91"/>
  <c r="RX91" s="1"/>
  <c r="RY88"/>
  <c r="RX88" s="1"/>
  <c r="RY87"/>
  <c r="RX87" s="1"/>
  <c r="RX81"/>
  <c r="RY85"/>
  <c r="IG92"/>
  <c r="H46"/>
  <c r="H47"/>
  <c r="JS63"/>
  <c r="JH80"/>
  <c r="NM65"/>
  <c r="AJ48"/>
  <c r="GM63"/>
  <c r="SI65"/>
  <c r="HO65"/>
  <c r="MK65"/>
  <c r="RU63"/>
  <c r="RP67"/>
  <c r="RU33"/>
  <c r="RU32"/>
  <c r="RU24"/>
  <c r="RU19"/>
  <c r="RU17"/>
  <c r="RU20"/>
  <c r="RU16"/>
  <c r="RU30"/>
  <c r="RU25"/>
  <c r="RU18"/>
  <c r="RU34"/>
  <c r="RU31"/>
  <c r="RU40"/>
  <c r="RU46"/>
  <c r="RU59"/>
  <c r="IL67"/>
  <c r="IQ32"/>
  <c r="IQ33"/>
  <c r="IQ24"/>
  <c r="IQ19"/>
  <c r="IQ16"/>
  <c r="IQ18"/>
  <c r="IQ17"/>
  <c r="IQ25"/>
  <c r="IQ20"/>
  <c r="IQ31"/>
  <c r="IQ30"/>
  <c r="IQ34"/>
  <c r="IQ40"/>
  <c r="IQ46"/>
  <c r="JN68"/>
  <c r="IQ59"/>
  <c r="HS92"/>
  <c r="HR85"/>
  <c r="GC88"/>
  <c r="GB88" s="1"/>
  <c r="GC89"/>
  <c r="GB89" s="1"/>
  <c r="GC90"/>
  <c r="GB90" s="1"/>
  <c r="GC86"/>
  <c r="GB86" s="1"/>
  <c r="GC85"/>
  <c r="GB81"/>
  <c r="GC91"/>
  <c r="GB91" s="1"/>
  <c r="GC87"/>
  <c r="GB87" s="1"/>
  <c r="JN67"/>
  <c r="JN69" s="1"/>
  <c r="JS32"/>
  <c r="JS33"/>
  <c r="JS19"/>
  <c r="JS24"/>
  <c r="JS18"/>
  <c r="JS20"/>
  <c r="JS17"/>
  <c r="JS16"/>
  <c r="JS25"/>
  <c r="JS31"/>
  <c r="JS30"/>
  <c r="JS34"/>
  <c r="JS40"/>
  <c r="JS46"/>
  <c r="JS59"/>
  <c r="PQ65"/>
  <c r="OO65"/>
  <c r="IC65"/>
  <c r="FY65"/>
  <c r="AG953" i="6"/>
  <c r="AH953" s="1"/>
  <c r="Q29" i="16" s="1"/>
  <c r="P29"/>
  <c r="AF919" i="6"/>
  <c r="AE897"/>
  <c r="SW33" i="17" l="1"/>
  <c r="SW20"/>
  <c r="SW30"/>
  <c r="SW40"/>
  <c r="SW24"/>
  <c r="SW17"/>
  <c r="SW18"/>
  <c r="SW46"/>
  <c r="SW19"/>
  <c r="SW16"/>
  <c r="SW31"/>
  <c r="SW59"/>
  <c r="SR67"/>
  <c r="SW32"/>
  <c r="SW25"/>
  <c r="SW34"/>
  <c r="SL80"/>
  <c r="SW63"/>
  <c r="RK92"/>
  <c r="TC56"/>
  <c r="TC54"/>
  <c r="TC57"/>
  <c r="TC55"/>
  <c r="TC53"/>
  <c r="TJ53" s="1"/>
  <c r="TF53" s="1"/>
  <c r="JS65"/>
  <c r="AD78"/>
  <c r="AJ50"/>
  <c r="JI86"/>
  <c r="JH86" s="1"/>
  <c r="JI90"/>
  <c r="JH90" s="1"/>
  <c r="JH81"/>
  <c r="JI91"/>
  <c r="JH91" s="1"/>
  <c r="JI88"/>
  <c r="JH88" s="1"/>
  <c r="JI87"/>
  <c r="JH87" s="1"/>
  <c r="JI85"/>
  <c r="JI89"/>
  <c r="JH89" s="1"/>
  <c r="H48"/>
  <c r="IQ65"/>
  <c r="RU65"/>
  <c r="GM65"/>
  <c r="GB85"/>
  <c r="GC92"/>
  <c r="RX85"/>
  <c r="RY92"/>
  <c r="OD85"/>
  <c r="OE92"/>
  <c r="AG919" i="6"/>
  <c r="AH919" s="1"/>
  <c r="Q28" i="16" s="1"/>
  <c r="P28"/>
  <c r="AF897" i="6"/>
  <c r="AE871"/>
  <c r="SW65" i="17" l="1"/>
  <c r="SM89"/>
  <c r="SL89" s="1"/>
  <c r="SM91"/>
  <c r="SL91" s="1"/>
  <c r="SM88"/>
  <c r="SL88" s="1"/>
  <c r="SL81"/>
  <c r="SM90"/>
  <c r="SL90" s="1"/>
  <c r="SM87"/>
  <c r="SL87" s="1"/>
  <c r="SM85"/>
  <c r="SM86"/>
  <c r="SL86" s="1"/>
  <c r="B78"/>
  <c r="H50"/>
  <c r="JI92"/>
  <c r="JH85"/>
  <c r="AG54"/>
  <c r="AN54" s="1"/>
  <c r="AJ54" s="1"/>
  <c r="AG56"/>
  <c r="AN56" s="1"/>
  <c r="AJ56" s="1"/>
  <c r="AG53"/>
  <c r="AN53" s="1"/>
  <c r="AJ53" s="1"/>
  <c r="AG55"/>
  <c r="AN55" s="1"/>
  <c r="AJ55" s="1"/>
  <c r="AG57"/>
  <c r="AN57" s="1"/>
  <c r="AJ57" s="1"/>
  <c r="AG897" i="6"/>
  <c r="AH897" s="1"/>
  <c r="Q27" i="16" s="1"/>
  <c r="P27"/>
  <c r="AF871" i="6"/>
  <c r="AE838"/>
  <c r="AE1275" s="1"/>
  <c r="SL85" i="17" l="1"/>
  <c r="SM92"/>
  <c r="AJ59"/>
  <c r="E56"/>
  <c r="L56" s="1"/>
  <c r="H56" s="1"/>
  <c r="E55"/>
  <c r="L55" s="1"/>
  <c r="H55" s="1"/>
  <c r="E54"/>
  <c r="L54" s="1"/>
  <c r="H54" s="1"/>
  <c r="E53"/>
  <c r="L53" s="1"/>
  <c r="H53" s="1"/>
  <c r="E57"/>
  <c r="L57" s="1"/>
  <c r="H57" s="1"/>
  <c r="AG871" i="6"/>
  <c r="AH871" s="1"/>
  <c r="Q26" i="16" s="1"/>
  <c r="P26"/>
  <c r="AF838" i="6"/>
  <c r="AF1275" s="1"/>
  <c r="AJ61" i="17" l="1"/>
  <c r="AD79"/>
  <c r="AI59"/>
  <c r="H59"/>
  <c r="AG838" i="6"/>
  <c r="AG1275" s="1"/>
  <c r="P25" i="16"/>
  <c r="P42" s="1"/>
  <c r="H114" i="9"/>
  <c r="H31" i="15" s="1"/>
  <c r="H61" i="17" l="1"/>
  <c r="B79"/>
  <c r="G59"/>
  <c r="AJ63"/>
  <c r="AD80" s="1"/>
  <c r="AE86" s="1"/>
  <c r="AD86" s="1"/>
  <c r="AE87"/>
  <c r="AD87" s="1"/>
  <c r="AE85"/>
  <c r="AE88"/>
  <c r="AD88" s="1"/>
  <c r="AE89"/>
  <c r="AD89" s="1"/>
  <c r="AE90"/>
  <c r="AD90" s="1"/>
  <c r="AE91"/>
  <c r="AD91" s="1"/>
  <c r="AD81"/>
  <c r="AH838" i="6"/>
  <c r="AH1275" s="1"/>
  <c r="H117" i="9"/>
  <c r="H118" s="1"/>
  <c r="AD85" i="17" l="1"/>
  <c r="AE92"/>
  <c r="H63"/>
  <c r="AJ65"/>
  <c r="Q25" i="16"/>
  <c r="Q42" s="1"/>
  <c r="H120" i="9"/>
  <c r="H33" i="15" s="1"/>
  <c r="H32"/>
  <c r="B80" i="17" l="1"/>
  <c r="AO63"/>
  <c r="AO33"/>
  <c r="AO16"/>
  <c r="AO18"/>
  <c r="AO40"/>
  <c r="AJ67"/>
  <c r="AO32"/>
  <c r="AO19"/>
  <c r="AO20"/>
  <c r="AO25"/>
  <c r="AO17"/>
  <c r="AO34"/>
  <c r="AO46"/>
  <c r="AO24"/>
  <c r="AO31"/>
  <c r="AO30"/>
  <c r="AO59"/>
  <c r="H65"/>
  <c r="H124" i="9"/>
  <c r="H123"/>
  <c r="C91" i="17" l="1"/>
  <c r="B91" s="1"/>
  <c r="C89"/>
  <c r="B89" s="1"/>
  <c r="C85"/>
  <c r="C87"/>
  <c r="B87" s="1"/>
  <c r="C90"/>
  <c r="B90" s="1"/>
  <c r="C88"/>
  <c r="B88" s="1"/>
  <c r="B81"/>
  <c r="C86"/>
  <c r="B86" s="1"/>
  <c r="AO65"/>
  <c r="H67"/>
  <c r="M32"/>
  <c r="M33"/>
  <c r="M19"/>
  <c r="M20"/>
  <c r="M18"/>
  <c r="M17"/>
  <c r="M16"/>
  <c r="M25"/>
  <c r="M30"/>
  <c r="M34"/>
  <c r="M31"/>
  <c r="M24"/>
  <c r="M40"/>
  <c r="M46"/>
  <c r="M59"/>
  <c r="M63"/>
  <c r="H125" i="9"/>
  <c r="H127" s="1"/>
  <c r="B85" i="17" l="1"/>
  <c r="C92"/>
  <c r="M65"/>
  <c r="H34" i="15"/>
  <c r="E131" i="9"/>
  <c r="L131" s="1"/>
  <c r="H131" s="1"/>
  <c r="E133"/>
  <c r="L133" s="1"/>
  <c r="H133" s="1"/>
  <c r="E130"/>
  <c r="L130" s="1"/>
  <c r="H130" s="1"/>
  <c r="E134"/>
  <c r="L134" s="1"/>
  <c r="H134" s="1"/>
  <c r="H35" i="15"/>
  <c r="E132" i="9"/>
  <c r="L132" s="1"/>
  <c r="H132" s="1"/>
  <c r="H136" l="1"/>
  <c r="H138" s="1"/>
  <c r="G136" l="1"/>
  <c r="H36" i="15"/>
  <c r="H140" i="9"/>
  <c r="H37" i="15"/>
  <c r="AI654" i="6" l="1"/>
  <c r="R21" i="16" s="1"/>
  <c r="AI759" i="6"/>
  <c r="R7" i="16" s="1"/>
  <c r="AI103" i="6"/>
  <c r="AJ103" s="1"/>
  <c r="AI725"/>
  <c r="R23" i="16" s="1"/>
  <c r="AI838" i="6"/>
  <c r="AJ838" s="1"/>
  <c r="AI1095"/>
  <c r="R32" i="16" s="1"/>
  <c r="AI993" i="6"/>
  <c r="R30" i="16" s="1"/>
  <c r="AI379" i="6"/>
  <c r="AJ379" s="1"/>
  <c r="AI1263"/>
  <c r="AJ1263" s="1"/>
  <c r="AI1185"/>
  <c r="R36" i="16" s="1"/>
  <c r="AI504" i="6"/>
  <c r="R18" i="16" s="1"/>
  <c r="AI1119" i="6"/>
  <c r="R33" i="16" s="1"/>
  <c r="AI2" i="6"/>
  <c r="AI1145"/>
  <c r="AJ1145" s="1"/>
  <c r="AI317"/>
  <c r="R13" i="16" s="1"/>
  <c r="AI1246" i="6"/>
  <c r="R40" i="16" s="1"/>
  <c r="AI919" i="6"/>
  <c r="R28" i="16" s="1"/>
  <c r="AI897" i="6"/>
  <c r="AJ897" s="1"/>
  <c r="AI144"/>
  <c r="R10" i="16" s="1"/>
  <c r="AI185" i="6"/>
  <c r="AJ185" s="1"/>
  <c r="AI679"/>
  <c r="R22" i="16" s="1"/>
  <c r="AI757" i="6"/>
  <c r="AJ757" s="1"/>
  <c r="AI430"/>
  <c r="R16" i="16" s="1"/>
  <c r="AI1233" i="6"/>
  <c r="R39" i="16" s="1"/>
  <c r="AI618" i="6"/>
  <c r="AJ618" s="1"/>
  <c r="AI464"/>
  <c r="AJ464" s="1"/>
  <c r="AI358"/>
  <c r="AJ358" s="1"/>
  <c r="AI1169"/>
  <c r="AJ1169" s="1"/>
  <c r="AI1038"/>
  <c r="R31" i="16" s="1"/>
  <c r="AI582" i="6"/>
  <c r="AJ582" s="1"/>
  <c r="AI953"/>
  <c r="R29" i="16" s="1"/>
  <c r="AI871" i="6"/>
  <c r="R26" i="16" s="1"/>
  <c r="AI238" i="6"/>
  <c r="AJ238" s="1"/>
  <c r="AI1218"/>
  <c r="AJ1218" s="1"/>
  <c r="AI1204"/>
  <c r="AJ1204" s="1"/>
  <c r="H142" i="9"/>
  <c r="H38" i="15"/>
  <c r="AJ654" i="6" l="1"/>
  <c r="S21" i="16" s="1"/>
  <c r="T21" s="1"/>
  <c r="AI1275" i="6"/>
  <c r="AJ759"/>
  <c r="AJ993"/>
  <c r="AK993" s="1"/>
  <c r="AJ1119"/>
  <c r="S33" i="16" s="1"/>
  <c r="T33" s="1"/>
  <c r="R25"/>
  <c r="AJ317" i="6"/>
  <c r="AK317" s="1"/>
  <c r="AL317" s="1"/>
  <c r="CN68" i="17" s="1"/>
  <c r="CN69" s="1"/>
  <c r="AJ725" i="6"/>
  <c r="S23" i="16" s="1"/>
  <c r="T23" s="1"/>
  <c r="R15"/>
  <c r="AJ1095" i="6"/>
  <c r="S32" i="16" s="1"/>
  <c r="T32" s="1"/>
  <c r="AJ1233" i="6"/>
  <c r="S39" i="16" s="1"/>
  <c r="T39" s="1"/>
  <c r="R41"/>
  <c r="AJ1185" i="6"/>
  <c r="S36" i="16" s="1"/>
  <c r="T36" s="1"/>
  <c r="AJ504" i="6"/>
  <c r="S18" i="16" s="1"/>
  <c r="T18" s="1"/>
  <c r="R12"/>
  <c r="R17"/>
  <c r="R27"/>
  <c r="R5"/>
  <c r="AJ919" i="6"/>
  <c r="AK919" s="1"/>
  <c r="AL919" s="1"/>
  <c r="LR68" i="17" s="1"/>
  <c r="LR69" s="1"/>
  <c r="AJ953" i="6"/>
  <c r="AK953" s="1"/>
  <c r="AL953" s="1"/>
  <c r="MF68" i="17" s="1"/>
  <c r="MF69" s="1"/>
  <c r="AJ430" i="6"/>
  <c r="AK430" s="1"/>
  <c r="AL430" s="1"/>
  <c r="ED68" i="17" s="1"/>
  <c r="ED69" s="1"/>
  <c r="S30" i="16"/>
  <c r="T30" s="1"/>
  <c r="R11"/>
  <c r="R6"/>
  <c r="R24" s="1"/>
  <c r="R34"/>
  <c r="R14"/>
  <c r="R38"/>
  <c r="R20"/>
  <c r="R37"/>
  <c r="AJ871" i="6"/>
  <c r="S26" i="16" s="1"/>
  <c r="T26" s="1"/>
  <c r="AJ679" i="6"/>
  <c r="AK679" s="1"/>
  <c r="AL679" s="1"/>
  <c r="HJ68" i="17" s="1"/>
  <c r="HJ69" s="1"/>
  <c r="AJ1246" i="6"/>
  <c r="S40" i="16" s="1"/>
  <c r="T40" s="1"/>
  <c r="R19"/>
  <c r="AJ1038" i="6"/>
  <c r="S31" i="16" s="1"/>
  <c r="T31" s="1"/>
  <c r="R35"/>
  <c r="R4"/>
  <c r="AJ2" i="6"/>
  <c r="AJ144"/>
  <c r="AK144" s="1"/>
  <c r="AL144" s="1"/>
  <c r="AX68" i="17" s="1"/>
  <c r="AX69" s="1"/>
  <c r="H39" i="15"/>
  <c r="H143" i="9"/>
  <c r="H40" i="15" s="1"/>
  <c r="AK618" i="6"/>
  <c r="AL618" s="1"/>
  <c r="GH68" i="17" s="1"/>
  <c r="GH69" s="1"/>
  <c r="S20" i="16"/>
  <c r="AK103" i="6"/>
  <c r="AL103" s="1"/>
  <c r="V68" i="17" s="1"/>
  <c r="S5" i="16"/>
  <c r="AK897" i="6"/>
  <c r="AL897" s="1"/>
  <c r="LD68" i="17" s="1"/>
  <c r="LD69" s="1"/>
  <c r="S27" i="16"/>
  <c r="AK358" i="6"/>
  <c r="AL358" s="1"/>
  <c r="DB68" i="17" s="1"/>
  <c r="DB69" s="1"/>
  <c r="S14" i="16"/>
  <c r="AK757" i="6"/>
  <c r="AL757" s="1"/>
  <c r="IL68" i="17" s="1"/>
  <c r="IL69" s="1"/>
  <c r="S6" i="16"/>
  <c r="AK838" i="6"/>
  <c r="AL838" s="1"/>
  <c r="KB68" i="17" s="1"/>
  <c r="KB69" s="1"/>
  <c r="S25" i="16"/>
  <c r="AK1204" i="6"/>
  <c r="AL1204" s="1"/>
  <c r="QN68" i="17" s="1"/>
  <c r="QN69" s="1"/>
  <c r="S37" i="16"/>
  <c r="AK582" i="6"/>
  <c r="AL582" s="1"/>
  <c r="FT68" i="17" s="1"/>
  <c r="FT69" s="1"/>
  <c r="S19" i="16"/>
  <c r="AK1145" i="6"/>
  <c r="AL1145" s="1"/>
  <c r="OX68" i="17" s="1"/>
  <c r="OX69" s="1"/>
  <c r="S34" i="16"/>
  <c r="AK1218" i="6"/>
  <c r="AL1218" s="1"/>
  <c r="RB68" i="17" s="1"/>
  <c r="RB69" s="1"/>
  <c r="S38" i="16"/>
  <c r="AK464" i="6"/>
  <c r="AL464" s="1"/>
  <c r="ER68" i="17" s="1"/>
  <c r="ER69" s="1"/>
  <c r="S17" i="16"/>
  <c r="AK1263" i="6"/>
  <c r="AL1263" s="1"/>
  <c r="S41" i="16"/>
  <c r="AK379" i="6"/>
  <c r="AL379" s="1"/>
  <c r="DP68" i="17" s="1"/>
  <c r="DP69" s="1"/>
  <c r="S15" i="16"/>
  <c r="AK238" i="6"/>
  <c r="AL238" s="1"/>
  <c r="BZ68" i="17" s="1"/>
  <c r="BZ69" s="1"/>
  <c r="S12" i="16"/>
  <c r="AK185" i="6"/>
  <c r="AL185" s="1"/>
  <c r="BL68" i="17" s="1"/>
  <c r="BL69" s="1"/>
  <c r="S11" i="16"/>
  <c r="AK1169" i="6"/>
  <c r="AL1169" s="1"/>
  <c r="PL68" i="17" s="1"/>
  <c r="PL69" s="1"/>
  <c r="S35" i="16"/>
  <c r="AK654" i="6" l="1"/>
  <c r="AL654" s="1"/>
  <c r="GV68" i="17" s="1"/>
  <c r="GV69" s="1"/>
  <c r="U41" i="16"/>
  <c r="SR68" i="17"/>
  <c r="SR69" s="1"/>
  <c r="AK759" i="6"/>
  <c r="AL759" s="1"/>
  <c r="S7" i="16"/>
  <c r="T7" s="1"/>
  <c r="AJ1275" i="6"/>
  <c r="AL993"/>
  <c r="AK1119"/>
  <c r="R9" i="16"/>
  <c r="R42" s="1"/>
  <c r="T25"/>
  <c r="T15"/>
  <c r="AK725" i="6"/>
  <c r="S13" i="16"/>
  <c r="T13" s="1"/>
  <c r="AK1095" i="6"/>
  <c r="AK504"/>
  <c r="AK1233"/>
  <c r="T11" i="16"/>
  <c r="T12"/>
  <c r="T34"/>
  <c r="T35"/>
  <c r="T41"/>
  <c r="AK1185" i="6"/>
  <c r="U10" i="16"/>
  <c r="U5"/>
  <c r="U19"/>
  <c r="U6"/>
  <c r="U21"/>
  <c r="U15"/>
  <c r="U16"/>
  <c r="U17"/>
  <c r="U37"/>
  <c r="U29"/>
  <c r="U35"/>
  <c r="U11"/>
  <c r="U13"/>
  <c r="U38"/>
  <c r="U14"/>
  <c r="U20"/>
  <c r="U28"/>
  <c r="U25"/>
  <c r="U12"/>
  <c r="U34"/>
  <c r="U27"/>
  <c r="U22"/>
  <c r="T17"/>
  <c r="T20"/>
  <c r="S16"/>
  <c r="T16" s="1"/>
  <c r="T27"/>
  <c r="S28"/>
  <c r="T28" s="1"/>
  <c r="S29"/>
  <c r="T29" s="1"/>
  <c r="T38"/>
  <c r="T19"/>
  <c r="T14"/>
  <c r="T6"/>
  <c r="T37"/>
  <c r="AK871" i="6"/>
  <c r="AL871" s="1"/>
  <c r="KP68" i="17" s="1"/>
  <c r="KP69" s="1"/>
  <c r="S22" i="16"/>
  <c r="T22" s="1"/>
  <c r="AK1038" i="6"/>
  <c r="AL1038" s="1"/>
  <c r="NH68" i="17" s="1"/>
  <c r="NH69" s="1"/>
  <c r="AK1246" i="6"/>
  <c r="AL1246" s="1"/>
  <c r="SD68" i="17" s="1"/>
  <c r="SD69" s="1"/>
  <c r="S10" i="16"/>
  <c r="T10" s="1"/>
  <c r="S4"/>
  <c r="S9" s="1"/>
  <c r="AK2" i="6"/>
  <c r="T5" i="16"/>
  <c r="T24" l="1"/>
  <c r="U24" s="1"/>
  <c r="U30"/>
  <c r="MT68" i="17"/>
  <c r="MT69" s="1"/>
  <c r="U7" i="16"/>
  <c r="IZ68" i="17"/>
  <c r="IZ69" s="1"/>
  <c r="S24" i="16"/>
  <c r="S42"/>
  <c r="AK1275" i="6"/>
  <c r="AL2"/>
  <c r="AL1233"/>
  <c r="AL1119"/>
  <c r="AL725"/>
  <c r="AL504"/>
  <c r="AL1185"/>
  <c r="AL1095"/>
  <c r="U26" i="16"/>
  <c r="U31"/>
  <c r="U40"/>
  <c r="T4"/>
  <c r="T9" s="1"/>
  <c r="AL1275" i="6"/>
  <c r="U42" i="16" s="1"/>
  <c r="U36" l="1"/>
  <c r="PZ68" i="17"/>
  <c r="PZ69" s="1"/>
  <c r="U23" i="16"/>
  <c r="HX68" i="17"/>
  <c r="HX69" s="1"/>
  <c r="U39" i="16"/>
  <c r="RP68" i="17"/>
  <c r="RP69" s="1"/>
  <c r="U32" i="16"/>
  <c r="NV68" i="17"/>
  <c r="NV69" s="1"/>
  <c r="U18" i="16"/>
  <c r="FF68" i="17"/>
  <c r="FF69" s="1"/>
  <c r="U33" i="16"/>
  <c r="OJ68" i="17"/>
  <c r="OJ69" s="1"/>
  <c r="U4" i="16"/>
  <c r="H68" i="17"/>
  <c r="H69" s="1"/>
  <c r="U9" i="16"/>
  <c r="N116" s="1"/>
  <c r="T42"/>
  <c r="V42" s="1"/>
  <c r="U43" s="1"/>
  <c r="N118"/>
  <c r="M118" s="1"/>
  <c r="O118" s="1"/>
  <c r="N122"/>
  <c r="M122" s="1"/>
  <c r="O122" s="1"/>
  <c r="N126"/>
  <c r="M126" s="1"/>
  <c r="O126" s="1"/>
  <c r="N130"/>
  <c r="L130" s="1"/>
  <c r="N134"/>
  <c r="M134" s="1"/>
  <c r="O134" s="1"/>
  <c r="N138"/>
  <c r="M138" s="1"/>
  <c r="O138" s="1"/>
  <c r="N108"/>
  <c r="M108" s="1"/>
  <c r="O108" s="1"/>
  <c r="N101"/>
  <c r="N117"/>
  <c r="L117" s="1"/>
  <c r="N121"/>
  <c r="L121" s="1"/>
  <c r="N125"/>
  <c r="M125" s="1"/>
  <c r="O125" s="1"/>
  <c r="N129"/>
  <c r="L129" s="1"/>
  <c r="N133"/>
  <c r="M133" s="1"/>
  <c r="O133" s="1"/>
  <c r="N137"/>
  <c r="L137" s="1"/>
  <c r="N107"/>
  <c r="M107" s="1"/>
  <c r="O107" s="1"/>
  <c r="N111"/>
  <c r="L111" s="1"/>
  <c r="I112"/>
  <c r="H112" s="1"/>
  <c r="I116"/>
  <c r="H116" s="1"/>
  <c r="J116" s="1"/>
  <c r="I120"/>
  <c r="H120" s="1"/>
  <c r="J120" s="1"/>
  <c r="I124"/>
  <c r="I128"/>
  <c r="H128" s="1"/>
  <c r="J128" s="1"/>
  <c r="I132"/>
  <c r="H132" s="1"/>
  <c r="J132" s="1"/>
  <c r="I136"/>
  <c r="G136" s="1"/>
  <c r="I140"/>
  <c r="G140" s="1"/>
  <c r="I102"/>
  <c r="H102" s="1"/>
  <c r="J102" s="1"/>
  <c r="I113"/>
  <c r="G113" s="1"/>
  <c r="I117"/>
  <c r="H117" s="1"/>
  <c r="J117" s="1"/>
  <c r="I121"/>
  <c r="G121" s="1"/>
  <c r="I125"/>
  <c r="G125" s="1"/>
  <c r="I129"/>
  <c r="H129" s="1"/>
  <c r="J129" s="1"/>
  <c r="I133"/>
  <c r="H133" s="1"/>
  <c r="J133" s="1"/>
  <c r="I137"/>
  <c r="G137" s="1"/>
  <c r="I141"/>
  <c r="G141" s="1"/>
  <c r="H124"/>
  <c r="J124" s="1"/>
  <c r="M101"/>
  <c r="O101" s="1"/>
  <c r="G144"/>
  <c r="G143"/>
  <c r="H108"/>
  <c r="J108" s="1"/>
  <c r="G103"/>
  <c r="H104"/>
  <c r="J104" s="1"/>
  <c r="G107"/>
  <c r="H107"/>
  <c r="J107" s="1"/>
  <c r="G104"/>
  <c r="H105"/>
  <c r="J105" s="1"/>
  <c r="D121"/>
  <c r="E121" s="1"/>
  <c r="D114"/>
  <c r="E114" s="1"/>
  <c r="D122"/>
  <c r="E122" s="1"/>
  <c r="D107"/>
  <c r="E107" s="1"/>
  <c r="D115"/>
  <c r="E115" s="1"/>
  <c r="D123"/>
  <c r="E123" s="1"/>
  <c r="D131"/>
  <c r="E131" s="1"/>
  <c r="D100"/>
  <c r="E100" s="1"/>
  <c r="D108"/>
  <c r="E108" s="1"/>
  <c r="D116"/>
  <c r="E116" s="1"/>
  <c r="D124"/>
  <c r="E124" s="1"/>
  <c r="D132"/>
  <c r="E132" s="1"/>
  <c r="D101"/>
  <c r="E101" s="1"/>
  <c r="D109"/>
  <c r="E109" s="1"/>
  <c r="D117"/>
  <c r="E117" s="1"/>
  <c r="D125"/>
  <c r="E125" s="1"/>
  <c r="D118"/>
  <c r="E118" s="1"/>
  <c r="D110"/>
  <c r="E110" s="1"/>
  <c r="D102"/>
  <c r="E102" s="1"/>
  <c r="D126"/>
  <c r="E126" s="1"/>
  <c r="D103"/>
  <c r="E103" s="1"/>
  <c r="D111"/>
  <c r="E111" s="1"/>
  <c r="D119"/>
  <c r="E119" s="1"/>
  <c r="D127"/>
  <c r="E127" s="1"/>
  <c r="D104"/>
  <c r="E104" s="1"/>
  <c r="D112"/>
  <c r="E112" s="1"/>
  <c r="D120"/>
  <c r="E120" s="1"/>
  <c r="D128"/>
  <c r="E128" s="1"/>
  <c r="D105"/>
  <c r="E105" s="1"/>
  <c r="D113"/>
  <c r="E113" s="1"/>
  <c r="D129"/>
  <c r="E129" s="1"/>
  <c r="D106"/>
  <c r="E106" s="1"/>
  <c r="D130"/>
  <c r="E130" s="1"/>
  <c r="TF68" i="17"/>
  <c r="AK1276" i="6"/>
  <c r="N112" i="16" l="1"/>
  <c r="M112" s="1"/>
  <c r="O112" s="1"/>
  <c r="G109"/>
  <c r="M116"/>
  <c r="L116"/>
  <c r="G105"/>
  <c r="G108"/>
  <c r="H109"/>
  <c r="J109" s="1"/>
  <c r="H106"/>
  <c r="J106" s="1"/>
  <c r="G106"/>
  <c r="H103"/>
  <c r="J103" s="1"/>
  <c r="H144"/>
  <c r="J144" s="1"/>
  <c r="L118"/>
  <c r="H143"/>
  <c r="J143" s="1"/>
  <c r="I101"/>
  <c r="H101" s="1"/>
  <c r="I139"/>
  <c r="G139" s="1"/>
  <c r="I135"/>
  <c r="G135" s="1"/>
  <c r="I131"/>
  <c r="G131" s="1"/>
  <c r="I127"/>
  <c r="H127" s="1"/>
  <c r="J127" s="1"/>
  <c r="I123"/>
  <c r="G123" s="1"/>
  <c r="I119"/>
  <c r="G119" s="1"/>
  <c r="I115"/>
  <c r="H115" s="1"/>
  <c r="J115" s="1"/>
  <c r="I100"/>
  <c r="H100" s="1"/>
  <c r="J100" s="1"/>
  <c r="I142"/>
  <c r="G142" s="1"/>
  <c r="I138"/>
  <c r="G138" s="1"/>
  <c r="I134"/>
  <c r="H134" s="1"/>
  <c r="J134" s="1"/>
  <c r="I130"/>
  <c r="H130" s="1"/>
  <c r="J130" s="1"/>
  <c r="I126"/>
  <c r="H126" s="1"/>
  <c r="J126" s="1"/>
  <c r="I122"/>
  <c r="G122" s="1"/>
  <c r="I118"/>
  <c r="H118" s="1"/>
  <c r="J118" s="1"/>
  <c r="I114"/>
  <c r="H114" s="1"/>
  <c r="J114" s="1"/>
  <c r="N102"/>
  <c r="M102" s="1"/>
  <c r="O102" s="1"/>
  <c r="N109"/>
  <c r="L109" s="1"/>
  <c r="N105"/>
  <c r="L105" s="1"/>
  <c r="N135"/>
  <c r="M135" s="1"/>
  <c r="O135" s="1"/>
  <c r="N131"/>
  <c r="L131" s="1"/>
  <c r="N127"/>
  <c r="L127" s="1"/>
  <c r="N123"/>
  <c r="M123" s="1"/>
  <c r="O123" s="1"/>
  <c r="N119"/>
  <c r="L119" s="1"/>
  <c r="N100"/>
  <c r="L100" s="1"/>
  <c r="N110"/>
  <c r="L110" s="1"/>
  <c r="N106"/>
  <c r="M106" s="1"/>
  <c r="O106" s="1"/>
  <c r="N136"/>
  <c r="L136" s="1"/>
  <c r="N132"/>
  <c r="M132" s="1"/>
  <c r="O132" s="1"/>
  <c r="N128"/>
  <c r="L128" s="1"/>
  <c r="N124"/>
  <c r="M124" s="1"/>
  <c r="O124" s="1"/>
  <c r="N120"/>
  <c r="L120" s="1"/>
  <c r="G112"/>
  <c r="M136"/>
  <c r="O136" s="1"/>
  <c r="M119"/>
  <c r="O119" s="1"/>
  <c r="L134"/>
  <c r="L133"/>
  <c r="G116"/>
  <c r="L138"/>
  <c r="G128"/>
  <c r="H123"/>
  <c r="J123" s="1"/>
  <c r="H121"/>
  <c r="J121" s="1"/>
  <c r="G120"/>
  <c r="H113"/>
  <c r="J113" s="1"/>
  <c r="L125"/>
  <c r="H141"/>
  <c r="J141" s="1"/>
  <c r="H131"/>
  <c r="J131" s="1"/>
  <c r="G129"/>
  <c r="G100"/>
  <c r="G101"/>
  <c r="H125"/>
  <c r="J125" s="1"/>
  <c r="G132"/>
  <c r="H119"/>
  <c r="J119" s="1"/>
  <c r="G118"/>
  <c r="G133"/>
  <c r="H122"/>
  <c r="J122" s="1"/>
  <c r="G115"/>
  <c r="M127"/>
  <c r="O127" s="1"/>
  <c r="H135"/>
  <c r="J135" s="1"/>
  <c r="M128"/>
  <c r="O128" s="1"/>
  <c r="H139"/>
  <c r="J139" s="1"/>
  <c r="L112"/>
  <c r="H136"/>
  <c r="J136" s="1"/>
  <c r="H140"/>
  <c r="J140" s="1"/>
  <c r="O116"/>
  <c r="H179"/>
  <c r="H178"/>
  <c r="M110"/>
  <c r="O110" s="1"/>
  <c r="M109"/>
  <c r="O109" s="1"/>
  <c r="L108"/>
  <c r="L102"/>
  <c r="M131"/>
  <c r="O131" s="1"/>
  <c r="L101"/>
  <c r="M117"/>
  <c r="O117" s="1"/>
  <c r="M130"/>
  <c r="O130" s="1"/>
  <c r="M137"/>
  <c r="O137" s="1"/>
  <c r="M111"/>
  <c r="O111" s="1"/>
  <c r="G102"/>
  <c r="G124"/>
  <c r="L126"/>
  <c r="M129"/>
  <c r="O129" s="1"/>
  <c r="G130"/>
  <c r="L135"/>
  <c r="L122"/>
  <c r="H138"/>
  <c r="J138" s="1"/>
  <c r="H137"/>
  <c r="J137" s="1"/>
  <c r="L106"/>
  <c r="M121"/>
  <c r="O121" s="1"/>
  <c r="H142"/>
  <c r="J142" s="1"/>
  <c r="G117"/>
  <c r="M120"/>
  <c r="O120" s="1"/>
  <c r="G114"/>
  <c r="G127"/>
  <c r="L107"/>
  <c r="J101"/>
  <c r="J110" s="1"/>
  <c r="J112"/>
  <c r="E133"/>
  <c r="H110" l="1"/>
  <c r="L132"/>
  <c r="G126"/>
  <c r="M105"/>
  <c r="M113" s="1"/>
  <c r="L123"/>
  <c r="M100"/>
  <c r="O100" s="1"/>
  <c r="O103" s="1"/>
  <c r="L124"/>
  <c r="G134"/>
  <c r="O139"/>
  <c r="M139"/>
  <c r="M103"/>
  <c r="D133"/>
  <c r="H145"/>
  <c r="O105"/>
  <c r="O113" s="1"/>
  <c r="J145"/>
  <c r="J147" s="1"/>
  <c r="J148" s="1"/>
  <c r="I110"/>
  <c r="N113" l="1"/>
  <c r="N139"/>
  <c r="O147"/>
  <c r="O148" s="1"/>
  <c r="I145"/>
  <c r="Z54" i="17" l="1"/>
  <c r="V54" s="1"/>
  <c r="Z55"/>
  <c r="V55" s="1"/>
  <c r="Z56"/>
  <c r="V56" s="1"/>
  <c r="Z57"/>
  <c r="V57" s="1"/>
  <c r="V59" l="1"/>
  <c r="P79" s="1"/>
  <c r="U59" l="1"/>
  <c r="V61"/>
  <c r="V63" s="1"/>
  <c r="P80" l="1"/>
  <c r="V65"/>
  <c r="AJ68" s="1"/>
  <c r="AJ69" s="1"/>
  <c r="AA19" l="1"/>
  <c r="AA30"/>
  <c r="AA34"/>
  <c r="AA16"/>
  <c r="AA20"/>
  <c r="AA31"/>
  <c r="AA40"/>
  <c r="AA17"/>
  <c r="AA24"/>
  <c r="AA32"/>
  <c r="AA46"/>
  <c r="AA18"/>
  <c r="AA25"/>
  <c r="AA33"/>
  <c r="V67"/>
  <c r="V69" s="1"/>
  <c r="AA59"/>
  <c r="Q87"/>
  <c r="P87" s="1"/>
  <c r="Q86"/>
  <c r="P86" s="1"/>
  <c r="Q88"/>
  <c r="P88" s="1"/>
  <c r="Q89"/>
  <c r="P89" s="1"/>
  <c r="Q90"/>
  <c r="P90" s="1"/>
  <c r="Q91"/>
  <c r="P91" s="1"/>
  <c r="Q85"/>
  <c r="P81"/>
  <c r="AA63"/>
  <c r="Q92" l="1"/>
  <c r="P85"/>
  <c r="AA65"/>
  <c r="TJ54"/>
  <c r="TF54" s="1"/>
  <c r="TJ55"/>
  <c r="TF55" s="1"/>
  <c r="TJ56"/>
  <c r="TF56" s="1"/>
  <c r="TJ57"/>
  <c r="TF57" s="1"/>
  <c r="TF59" l="1"/>
  <c r="TE59" l="1"/>
  <c r="SZ79"/>
  <c r="TF61"/>
  <c r="TF63" l="1"/>
  <c r="TF65" s="1"/>
  <c r="TK24" l="1"/>
  <c r="TK46"/>
  <c r="TK25"/>
  <c r="TF67"/>
  <c r="TF69" s="1"/>
  <c r="TK30"/>
  <c r="TK16"/>
  <c r="TK31"/>
  <c r="TK17"/>
  <c r="TK32"/>
  <c r="TK18"/>
  <c r="TK33"/>
  <c r="TK19"/>
  <c r="TK34"/>
  <c r="TK20"/>
  <c r="TK40"/>
  <c r="TK59"/>
  <c r="SZ80"/>
  <c r="TK63"/>
  <c r="TK65" l="1"/>
  <c r="TA90"/>
  <c r="SZ90" s="1"/>
  <c r="TA86"/>
  <c r="SZ86" s="1"/>
  <c r="SZ81"/>
  <c r="TA91"/>
  <c r="SZ91" s="1"/>
  <c r="TA88"/>
  <c r="SZ88" s="1"/>
  <c r="TA87"/>
  <c r="SZ87" s="1"/>
  <c r="TA89"/>
  <c r="SZ89" s="1"/>
  <c r="TA85"/>
  <c r="TA92" l="1"/>
  <c r="SZ85"/>
  <c r="N103" i="16"/>
</calcChain>
</file>

<file path=xl/comments1.xml><?xml version="1.0" encoding="utf-8"?>
<comments xmlns="http://schemas.openxmlformats.org/spreadsheetml/2006/main">
  <authors>
    <author>Guillermo Andres Mutis Gaitan</author>
  </authors>
  <commentList>
    <comment ref="C11" authorId="0">
      <text>
        <r>
          <rPr>
            <sz val="9"/>
            <color indexed="81"/>
            <rFont val="Tahoma"/>
            <family val="2"/>
          </rPr>
          <t>Tres veces por semana cada uno de 2 horas por semana</t>
        </r>
      </text>
    </comment>
  </commentList>
</comments>
</file>

<file path=xl/comments2.xml><?xml version="1.0" encoding="utf-8"?>
<comments xmlns="http://schemas.openxmlformats.org/spreadsheetml/2006/main">
  <authors>
    <author>Mutis</author>
  </authors>
  <commentList>
    <comment ref="E4" authorId="0">
      <text>
        <r>
          <rPr>
            <sz val="9"/>
            <color indexed="81"/>
            <rFont val="Tahoma"/>
            <family val="2"/>
          </rPr>
          <t>Se calcula para aquellos salarios inferiores a 2 SMMLV</t>
        </r>
      </text>
    </comment>
    <comment ref="I4" authorId="0">
      <text>
        <r>
          <rPr>
            <sz val="9"/>
            <color indexed="81"/>
            <rFont val="Tahoma"/>
            <family val="2"/>
          </rPr>
          <t>La base es el salario básico mas auxilio de transporte</t>
        </r>
      </text>
    </comment>
    <comment ref="L4" authorId="0">
      <text>
        <r>
          <rPr>
            <sz val="9"/>
            <color indexed="81"/>
            <rFont val="Tahoma"/>
            <family val="2"/>
          </rPr>
          <t>La base es el salario básico mas auxilio de transporte</t>
        </r>
      </text>
    </comment>
    <comment ref="F5" authorId="0">
      <text>
        <r>
          <rPr>
            <sz val="9"/>
            <color indexed="81"/>
            <rFont val="Tahoma"/>
            <family val="2"/>
          </rPr>
          <t>8,5% del salario</t>
        </r>
      </text>
    </comment>
    <comment ref="G5" authorId="0">
      <text>
        <r>
          <rPr>
            <sz val="9"/>
            <color indexed="81"/>
            <rFont val="Tahoma"/>
            <family val="2"/>
          </rPr>
          <t>12% sobre el salario</t>
        </r>
      </text>
    </comment>
    <comment ref="I5" authorId="0">
      <text>
        <r>
          <rPr>
            <sz val="9"/>
            <color indexed="81"/>
            <rFont val="Tahoma"/>
            <family val="2"/>
          </rPr>
          <t>Un salario mensual por cada año trabajado, o proporcionalmente</t>
        </r>
      </text>
    </comment>
    <comment ref="K5" authorId="0">
      <text>
        <r>
          <rPr>
            <sz val="9"/>
            <color indexed="81"/>
            <rFont val="Tahoma"/>
            <family val="2"/>
          </rPr>
          <t>15 días hábiles de vacaciones al año</t>
        </r>
      </text>
    </comment>
    <comment ref="L5" authorId="0">
      <text>
        <r>
          <rPr>
            <sz val="9"/>
            <color indexed="81"/>
            <rFont val="Tahoma"/>
            <family val="2"/>
          </rPr>
          <t xml:space="preserve">Pago de medio salario cada semestre </t>
        </r>
      </text>
    </comment>
  </commentList>
</comments>
</file>

<file path=xl/comments3.xml><?xml version="1.0" encoding="utf-8"?>
<comments xmlns="http://schemas.openxmlformats.org/spreadsheetml/2006/main">
  <authors>
    <author>FINANCIERO2</author>
  </authors>
  <commentList>
    <comment ref="E195" authorId="0">
      <text>
        <r>
          <rPr>
            <b/>
            <sz val="9"/>
            <color indexed="81"/>
            <rFont val="Tahoma"/>
            <family val="2"/>
          </rPr>
          <t>FINANCIERO2:</t>
        </r>
        <r>
          <rPr>
            <sz val="9"/>
            <color indexed="81"/>
            <rFont val="Tahoma"/>
            <family val="2"/>
          </rPr>
          <t xml:space="preserve">
Inlcuye vereda El Salado y otras</t>
        </r>
      </text>
    </comment>
  </commentList>
</comments>
</file>

<file path=xl/comments4.xml><?xml version="1.0" encoding="utf-8"?>
<comments xmlns="http://schemas.openxmlformats.org/spreadsheetml/2006/main">
  <authors>
    <author>Guillermo Andres Mutis Gaitan</author>
    <author>Hector.Arias</author>
  </authors>
  <commentList>
    <comment ref="C82" authorId="0">
      <text>
        <r>
          <rPr>
            <sz val="9"/>
            <color indexed="81"/>
            <rFont val="Tahoma"/>
            <family val="2"/>
          </rPr>
          <t>Valores incrementados en un 1.45% (IPT) respecto al año 2012</t>
        </r>
      </text>
    </comment>
    <comment ref="D91" authorId="0">
      <text>
        <r>
          <rPr>
            <sz val="9"/>
            <color indexed="81"/>
            <rFont val="Tahoma"/>
            <family val="2"/>
          </rPr>
          <t>Fuente: Director del Programa (Fernando Ramirez Ochoa)</t>
        </r>
      </text>
    </comment>
    <comment ref="D118" authorId="0">
      <text>
        <r>
          <rPr>
            <sz val="9"/>
            <color indexed="81"/>
            <rFont val="Tahoma"/>
            <family val="2"/>
          </rPr>
          <t>Fuente: Director del Programa (Fernando Ramirez Ochoa)</t>
        </r>
      </text>
    </comment>
    <comment ref="C125" authorId="1">
      <text>
        <r>
          <rPr>
            <b/>
            <sz val="8"/>
            <color indexed="81"/>
            <rFont val="Tahoma"/>
            <family val="2"/>
          </rPr>
          <t>Hector.Arias:</t>
        </r>
        <r>
          <rPr>
            <sz val="8"/>
            <color indexed="81"/>
            <rFont val="Tahoma"/>
            <family val="2"/>
          </rPr>
          <t xml:space="preserve">
Tasa 2008 3,5% Base 2007
Tasa 2009 3,0% Base 2008
Tasa 2010 4% Base 2009
Tasa 2011 3% Base 2010
Tasa 2012 3.07% Base 2011</t>
        </r>
      </text>
    </comment>
  </commentList>
</comments>
</file>

<file path=xl/sharedStrings.xml><?xml version="1.0" encoding="utf-8"?>
<sst xmlns="http://schemas.openxmlformats.org/spreadsheetml/2006/main" count="8975" uniqueCount="2420">
  <si>
    <t>SALARIOS DE REFERENCIA</t>
  </si>
  <si>
    <t>DEPARTAMENTO ADMINISTRATIVO DE LA FUNCIÓN PÚBLICA</t>
  </si>
  <si>
    <t>Decreto No. 0853 de 25 de abril de 2012</t>
  </si>
  <si>
    <t>PERFIL</t>
  </si>
  <si>
    <t>Directivo</t>
  </si>
  <si>
    <t>TABLA PARA CALCULAR SALARIOS CON PRESTACIONES SOCIALES - SOLO INCLUYEN LOS FACTORES QUE LA LEY EXIGE</t>
  </si>
  <si>
    <t>Personal requerido para el Proyecto</t>
  </si>
  <si>
    <t>Salario de Referencia del Departamento Administrativo de la Función Pública</t>
  </si>
  <si>
    <t>SALARIO</t>
  </si>
  <si>
    <t>SUBSIDIO TRANSPORTE</t>
  </si>
  <si>
    <t>SALUD</t>
  </si>
  <si>
    <t>PENSION</t>
  </si>
  <si>
    <t>ARL</t>
  </si>
  <si>
    <t>CESANTIAS</t>
  </si>
  <si>
    <t>INTERESES CESANTIAS</t>
  </si>
  <si>
    <t>VACACIONES</t>
  </si>
  <si>
    <t>PRIMA</t>
  </si>
  <si>
    <t>SUBOTAL</t>
  </si>
  <si>
    <t>Factor Prestacional</t>
  </si>
  <si>
    <t>Dotación
(Proporc.
Mensual)</t>
  </si>
  <si>
    <t>TOTAL MENSUAL</t>
  </si>
  <si>
    <t>Factor prestacional
(incluye 
dotación)</t>
  </si>
  <si>
    <t>meses</t>
  </si>
  <si>
    <t>Meses de trabajo con 100% dedicación mensual</t>
  </si>
  <si>
    <t>Personas Requeridas</t>
  </si>
  <si>
    <t>Total a Pagar</t>
  </si>
  <si>
    <t xml:space="preserve">TOTAL PAGOS MENSUALES </t>
  </si>
  <si>
    <t>ITEM</t>
  </si>
  <si>
    <t>Salario Mínimo</t>
  </si>
  <si>
    <t>Auxilio Transporte</t>
  </si>
  <si>
    <t>Dotación (3 vestidos y zapatos al año) Vr. Ud. $105.000</t>
  </si>
  <si>
    <t>Días hábiles legales en el mes.</t>
  </si>
  <si>
    <t xml:space="preserve">Coordinador General </t>
  </si>
  <si>
    <t xml:space="preserve">Promotor de Derechos </t>
  </si>
  <si>
    <t xml:space="preserve">Gestor Administrativo </t>
  </si>
  <si>
    <t>SMMLV</t>
  </si>
  <si>
    <t>CODIGO</t>
  </si>
  <si>
    <t>GRUPOS</t>
  </si>
  <si>
    <t>Costo Transp. P.D.</t>
  </si>
  <si>
    <t>Costo Transp. Supervisión</t>
  </si>
  <si>
    <t>Costo Celular</t>
  </si>
  <si>
    <t>Internet</t>
  </si>
  <si>
    <t>Costo Materiales</t>
  </si>
  <si>
    <t>Costo Refrigerios</t>
  </si>
  <si>
    <t>Costo Chalecos</t>
  </si>
  <si>
    <t>SUBTOTAL COSTO DIRECTO UDS</t>
  </si>
  <si>
    <t>ANTIOQUIA ZONA 1</t>
  </si>
  <si>
    <t>ANTIOQUIA</t>
  </si>
  <si>
    <t>Medellín</t>
  </si>
  <si>
    <t>Amagá</t>
  </si>
  <si>
    <t>Amalfi</t>
  </si>
  <si>
    <t>Andes</t>
  </si>
  <si>
    <t>Anorí</t>
  </si>
  <si>
    <t>Apartadó</t>
  </si>
  <si>
    <t>Arboletes </t>
  </si>
  <si>
    <t>Barbosa</t>
  </si>
  <si>
    <t>Bello</t>
  </si>
  <si>
    <t>Betulia</t>
  </si>
  <si>
    <t>Briceño</t>
  </si>
  <si>
    <t>Buriticá</t>
  </si>
  <si>
    <t>Cáceres</t>
  </si>
  <si>
    <t>Caicedo</t>
  </si>
  <si>
    <t>Caldas (ANT)</t>
  </si>
  <si>
    <t>Cañasgordas</t>
  </si>
  <si>
    <t>Carepa</t>
  </si>
  <si>
    <t>Carolina</t>
  </si>
  <si>
    <t>Caucasia</t>
  </si>
  <si>
    <t>Chigorodó</t>
  </si>
  <si>
    <t>Cisneros</t>
  </si>
  <si>
    <t>Concordia</t>
  </si>
  <si>
    <t>Copacabana</t>
  </si>
  <si>
    <t>Dabeiba</t>
  </si>
  <si>
    <t>El Bagre</t>
  </si>
  <si>
    <t>Entrerrios</t>
  </si>
  <si>
    <t>Envigado</t>
  </si>
  <si>
    <t>Fredonia</t>
  </si>
  <si>
    <t>Frontino</t>
  </si>
  <si>
    <t>Giraldo</t>
  </si>
  <si>
    <t>Girardota</t>
  </si>
  <si>
    <t>Itagui</t>
  </si>
  <si>
    <t>Ituango</t>
  </si>
  <si>
    <t>Jardín</t>
  </si>
  <si>
    <t>La Estrella</t>
  </si>
  <si>
    <t>Maceo</t>
  </si>
  <si>
    <t>Murindó</t>
  </si>
  <si>
    <t>Mutatá</t>
  </si>
  <si>
    <t>Nechí</t>
  </si>
  <si>
    <t>Necoclí</t>
  </si>
  <si>
    <t>Olaya</t>
  </si>
  <si>
    <t>Peque</t>
  </si>
  <si>
    <t>Puerto Berrío</t>
  </si>
  <si>
    <t>Puerto Triunfo</t>
  </si>
  <si>
    <t>Remedios</t>
  </si>
  <si>
    <t>Sabaneta</t>
  </si>
  <si>
    <t>Salgar</t>
  </si>
  <si>
    <t>San Juan de Urabá</t>
  </si>
  <si>
    <t>San Pedro de Uraba</t>
  </si>
  <si>
    <t>San Roque</t>
  </si>
  <si>
    <t>Santafé de Antioquia</t>
  </si>
  <si>
    <t>Santo Domingo</t>
  </si>
  <si>
    <t>Segovia</t>
  </si>
  <si>
    <t>Támesis</t>
  </si>
  <si>
    <t>Tarazá</t>
  </si>
  <si>
    <t>Turbo</t>
  </si>
  <si>
    <t>Urrao</t>
  </si>
  <si>
    <t>Valdivia</t>
  </si>
  <si>
    <t>Venecia</t>
  </si>
  <si>
    <t>Vigía del Fuerte</t>
  </si>
  <si>
    <t>Yalí</t>
  </si>
  <si>
    <t>Yarumal</t>
  </si>
  <si>
    <t>Yondó</t>
  </si>
  <si>
    <t>Zaragoza</t>
  </si>
  <si>
    <t>ANTIOQUIA ZONA 2</t>
  </si>
  <si>
    <t>Abejorral</t>
  </si>
  <si>
    <t>Argelia</t>
  </si>
  <si>
    <t>Cocorná </t>
  </si>
  <si>
    <t>El Carmen de Viboral</t>
  </si>
  <si>
    <t>El Santuario</t>
  </si>
  <si>
    <t>Granada</t>
  </si>
  <si>
    <t>Guarne</t>
  </si>
  <si>
    <t>La Ceja</t>
  </si>
  <si>
    <t>La Unión</t>
  </si>
  <si>
    <t>Marinilla</t>
  </si>
  <si>
    <t>Nariño</t>
  </si>
  <si>
    <t>Retiro</t>
  </si>
  <si>
    <t>Rionegro</t>
  </si>
  <si>
    <t>San Carlos</t>
  </si>
  <si>
    <t>San Luis</t>
  </si>
  <si>
    <t>San Rafael</t>
  </si>
  <si>
    <t>San Vicente</t>
  </si>
  <si>
    <t>Sonson</t>
  </si>
  <si>
    <t>ATLANTICO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</si>
  <si>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</si>
  <si>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</si>
  <si>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</si>
  <si>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</si>
  <si>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</si>
  <si>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</si>
  <si>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</si>
  <si>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</si>
  <si>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</si>
  <si>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</si>
  <si>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</si>
  <si>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</si>
  <si>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</si>
  <si>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</si>
  <si>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</si>
  <si>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</si>
  <si>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Sabanalarga (ATL)</t>
  </si>
  <si>
    <t>Santa Lucía</t>
  </si>
  <si>
    <t>Santo Tomás</t>
  </si>
  <si>
    <t>Soledad</t>
  </si>
  <si>
    <t>Suan</t>
  </si>
  <si>
    <t>Tubará</t>
  </si>
  <si>
    <t>Usiacurí</t>
  </si>
  <si>
    <t>BOLIVAR</t>
  </si>
  <si>
    <t>Cartagena</t>
  </si>
  <si>
    <t xml:space="preserve">Achí  </t>
  </si>
  <si>
    <t>Altos del Rosario</t>
  </si>
  <si>
    <t>Arjona</t>
  </si>
  <si>
    <t>Arroyohondo</t>
  </si>
  <si>
    <t>Barranco de Loba </t>
  </si>
  <si>
    <t>Calamar</t>
  </si>
  <si>
    <t>Cantagallo</t>
  </si>
  <si>
    <t>Clemencia</t>
  </si>
  <si>
    <t>El Carmen de Bolívar</t>
  </si>
  <si>
    <t>Magangué</t>
  </si>
  <si>
    <t>Mahates</t>
  </si>
  <si>
    <t>María La Baja</t>
  </si>
  <si>
    <t>Mompós</t>
  </si>
  <si>
    <t>Montecristo</t>
  </si>
  <si>
    <t>Morales (BOL)</t>
  </si>
  <si>
    <t>San Cristóbal</t>
  </si>
  <si>
    <t>San Jacinto</t>
  </si>
  <si>
    <t>San Juan Nepomuceno</t>
  </si>
  <si>
    <t>San Pablo</t>
  </si>
  <si>
    <t>Santa Catalina </t>
  </si>
  <si>
    <t>Santa Rosa</t>
  </si>
  <si>
    <t>Santa Rosa del Sur</t>
  </si>
  <si>
    <t>Simití</t>
  </si>
  <si>
    <t>Soplaviento</t>
  </si>
  <si>
    <t>Talaigua Nuevo</t>
  </si>
  <si>
    <t>Tiquisio</t>
  </si>
  <si>
    <t>Turbaco</t>
  </si>
  <si>
    <t>Villanueva (BOL)</t>
  </si>
  <si>
    <t>BOYACA</t>
  </si>
  <si>
    <t>Tunja</t>
  </si>
  <si>
    <t>Aquitania</t>
  </si>
  <si>
    <t>Chiquinquirá</t>
  </si>
  <si>
    <t>Cómbita</t>
  </si>
  <si>
    <t>Corrales</t>
  </si>
  <si>
    <t>Covarachía</t>
  </si>
  <si>
    <t>Cucaita</t>
  </si>
  <si>
    <t>Cuítiva</t>
  </si>
  <si>
    <t>Duitama</t>
  </si>
  <si>
    <t>El Cocuy</t>
  </si>
  <si>
    <t>El Espino</t>
  </si>
  <si>
    <t>Firavitoba</t>
  </si>
  <si>
    <t>Floresta</t>
  </si>
  <si>
    <t>Gachantivá</t>
  </si>
  <si>
    <t>Gameza</t>
  </si>
  <si>
    <t>Garagoa</t>
  </si>
  <si>
    <t>Guateque</t>
  </si>
  <si>
    <t>Moniquirá</t>
  </si>
  <si>
    <t>Muzo</t>
  </si>
  <si>
    <t>Paipa</t>
  </si>
  <si>
    <t>Paz de Río</t>
  </si>
  <si>
    <t>Pesca</t>
  </si>
  <si>
    <t>Puerto Boyacá</t>
  </si>
  <si>
    <t>Samacá</t>
  </si>
  <si>
    <t>Santa Rosa de Viterbo</t>
  </si>
  <si>
    <t>Santana</t>
  </si>
  <si>
    <t>Socotá</t>
  </si>
  <si>
    <t>Sogamoso</t>
  </si>
  <si>
    <t>Tipacoque</t>
  </si>
  <si>
    <t>Toca</t>
  </si>
  <si>
    <t>Villa de Leyva</t>
  </si>
  <si>
    <t>CALDAS</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</si>
  <si>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</si>
  <si>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</si>
  <si>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</si>
  <si>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</si>
  <si>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</si>
  <si>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</si>
  <si>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</si>
  <si>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</si>
  <si>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</si>
  <si>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</si>
  <si>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</si>
  <si>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</si>
  <si>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</si>
  <si>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</si>
  <si>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</si>
  <si>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</si>
  <si>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</si>
  <si>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</si>
  <si>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</si>
  <si>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 (CAL)</t>
  </si>
  <si>
    <t>Salamina</t>
  </si>
  <si>
    <t>Samaná </t>
  </si>
  <si>
    <t>San José</t>
  </si>
  <si>
    <t>Supía</t>
  </si>
  <si>
    <t>Victoria</t>
  </si>
  <si>
    <t>Villamaría</t>
  </si>
  <si>
    <t>Viterbo</t>
  </si>
  <si>
    <t>CAQUETA</t>
  </si>
  <si>
    <t>Florencia</t>
  </si>
  <si>
    <t>Belén de Los Andaquies</t>
  </si>
  <si>
    <t>Cartagena del Chairá</t>
  </si>
  <si>
    <t>El Doncello</t>
  </si>
  <si>
    <t>El Paujil</t>
  </si>
  <si>
    <t>La Montañita</t>
  </si>
  <si>
    <t>Milán</t>
  </si>
  <si>
    <t>Puerto Rico</t>
  </si>
  <si>
    <t>San José del Fragua</t>
  </si>
  <si>
    <t>San Vicente del Caguán</t>
  </si>
  <si>
    <t>Solano</t>
  </si>
  <si>
    <t>Solita</t>
  </si>
  <si>
    <t>Valparaíso (CAQ)</t>
  </si>
  <si>
    <t>CAUCA</t>
  </si>
  <si>
    <t>Popayán</t>
  </si>
  <si>
    <t>Almaguer</t>
  </si>
  <si>
    <t>Argelia (CAU)</t>
  </si>
  <si>
    <t>Balboa</t>
  </si>
  <si>
    <t>Bolívar (CAU)</t>
  </si>
  <si>
    <t xml:space="preserve">Buenos Aires  </t>
  </si>
  <si>
    <t>Cajibío</t>
  </si>
  <si>
    <t>Caldono</t>
  </si>
  <si>
    <t xml:space="preserve">Caloto </t>
  </si>
  <si>
    <t>Corinto</t>
  </si>
  <si>
    <t>El Tambo</t>
  </si>
  <si>
    <t xml:space="preserve">Guachené </t>
  </si>
  <si>
    <t>Guapi</t>
  </si>
  <si>
    <t>Inzá</t>
  </si>
  <si>
    <t>La Vega</t>
  </si>
  <si>
    <t>López</t>
  </si>
  <si>
    <t>Mercaderes </t>
  </si>
  <si>
    <t>Miranda</t>
  </si>
  <si>
    <t>Morales</t>
  </si>
  <si>
    <t>Paez</t>
  </si>
  <si>
    <t>Patía</t>
  </si>
  <si>
    <t>Piamonte</t>
  </si>
  <si>
    <t>Piendamó</t>
  </si>
  <si>
    <t>Puerto Tejada</t>
  </si>
  <si>
    <t>Santander de Quilichao </t>
  </si>
  <si>
    <t>Silvia</t>
  </si>
  <si>
    <t>Sotara</t>
  </si>
  <si>
    <t>Suárez</t>
  </si>
  <si>
    <t>Timbío</t>
  </si>
  <si>
    <t>Timbiquí</t>
  </si>
  <si>
    <t>Toribio</t>
  </si>
  <si>
    <t>Totoró</t>
  </si>
  <si>
    <t>Villa Rica</t>
  </si>
  <si>
    <t>CESAR</t>
  </si>
  <si>
    <t>Valledupar</t>
  </si>
  <si>
    <t>Aguachica</t>
  </si>
  <si>
    <t>Agustín Codazzi</t>
  </si>
  <si>
    <t>Astrea</t>
  </si>
  <si>
    <t>Becerril</t>
  </si>
  <si>
    <t>Bosconia</t>
  </si>
  <si>
    <t>Chimichagua</t>
  </si>
  <si>
    <t>Chiriguaná</t>
  </si>
  <si>
    <t>Curumaní</t>
  </si>
  <si>
    <t>El Copey</t>
  </si>
  <si>
    <t>El Paso</t>
  </si>
  <si>
    <t>Gamarra</t>
  </si>
  <si>
    <t>La Jagua de Ibirico</t>
  </si>
  <si>
    <t>La Paz</t>
  </si>
  <si>
    <t>Manaure</t>
  </si>
  <si>
    <t>Pailitas</t>
  </si>
  <si>
    <t>Pelaya</t>
  </si>
  <si>
    <t>Pueblo Bello</t>
  </si>
  <si>
    <t>Río de Oro</t>
  </si>
  <si>
    <t>San Alberto</t>
  </si>
  <si>
    <t>San Diego</t>
  </si>
  <si>
    <t>San Martín</t>
  </si>
  <si>
    <t>Tamalameque</t>
  </si>
  <si>
    <t>CORDOBA</t>
  </si>
  <si>
    <t>Montería</t>
  </si>
  <si>
    <t>Ayapel </t>
  </si>
  <si>
    <t>Buenavista (COR)</t>
  </si>
  <si>
    <t>Canalete</t>
  </si>
  <si>
    <t>Cereté</t>
  </si>
  <si>
    <t>Chimá</t>
  </si>
  <si>
    <t>Chinú</t>
  </si>
  <si>
    <t>Ciénaga de Oro</t>
  </si>
  <si>
    <t>Cotorra</t>
  </si>
  <si>
    <t>La Apartada</t>
  </si>
  <si>
    <t xml:space="preserve">Lorica  </t>
  </si>
  <si>
    <t>Los Córdobas</t>
  </si>
  <si>
    <t>Momil</t>
  </si>
  <si>
    <t>Montelíbano</t>
  </si>
  <si>
    <t>Moñitos</t>
  </si>
  <si>
    <t>Planeta Rica</t>
  </si>
  <si>
    <t>Pueblo Nuevo</t>
  </si>
  <si>
    <t>Puerto Escondido</t>
  </si>
  <si>
    <t>Puerto Libertador</t>
  </si>
  <si>
    <t>Purísima</t>
  </si>
  <si>
    <t>Sahagún</t>
  </si>
  <si>
    <t>San Andrés Sotavento</t>
  </si>
  <si>
    <t>San Antero</t>
  </si>
  <si>
    <t>San Bernardo del Viento</t>
  </si>
  <si>
    <t>San Carlos (COR)</t>
  </si>
  <si>
    <t xml:space="preserve">San José de Uré </t>
  </si>
  <si>
    <t>San Pelayo </t>
  </si>
  <si>
    <t>Tierralta</t>
  </si>
  <si>
    <t>Tuchín</t>
  </si>
  <si>
    <t>Valencia</t>
  </si>
  <si>
    <t>CUNDINAMARCA</t>
  </si>
  <si>
    <t>Agua de Dios</t>
  </si>
  <si>
    <t>Apulo</t>
  </si>
  <si>
    <t>Cabrera</t>
  </si>
  <si>
    <t>Cajicá</t>
  </si>
  <si>
    <t>Caqueza</t>
  </si>
  <si>
    <t>Chía</t>
  </si>
  <si>
    <t>Chocontá</t>
  </si>
  <si>
    <t>Cogua</t>
  </si>
  <si>
    <t>Cucunubá</t>
  </si>
  <si>
    <t>El Colegio</t>
  </si>
  <si>
    <t>El Rosal</t>
  </si>
  <si>
    <t>Facatativá</t>
  </si>
  <si>
    <t>Funza</t>
  </si>
  <si>
    <t>Fusagasugá</t>
  </si>
  <si>
    <t>Gama</t>
  </si>
  <si>
    <t>Girardot</t>
  </si>
  <si>
    <t>Guaduas</t>
  </si>
  <si>
    <t>Guatavita</t>
  </si>
  <si>
    <t>La Calera</t>
  </si>
  <si>
    <t>La Mesa</t>
  </si>
  <si>
    <t>La Palma</t>
  </si>
  <si>
    <t>Madrid</t>
  </si>
  <si>
    <t>Mosquera</t>
  </si>
  <si>
    <t>Pacho</t>
  </si>
  <si>
    <t>Pasca</t>
  </si>
  <si>
    <t>Puerto Salgar</t>
  </si>
  <si>
    <t>San Francisco (CUN)</t>
  </si>
  <si>
    <t>San Juan de Río Seco</t>
  </si>
  <si>
    <t>Sibaté</t>
  </si>
  <si>
    <t>Simijaca</t>
  </si>
  <si>
    <t>Soacha </t>
  </si>
  <si>
    <t>Sopó</t>
  </si>
  <si>
    <t>Sutatausa</t>
  </si>
  <si>
    <t>Tenjo</t>
  </si>
  <si>
    <t>Tocaima</t>
  </si>
  <si>
    <t>Tocancipá</t>
  </si>
  <si>
    <t>Útica</t>
  </si>
  <si>
    <t>Villa de San Diego de Ubate</t>
  </si>
  <si>
    <t>Villeta</t>
  </si>
  <si>
    <t>Viotá</t>
  </si>
  <si>
    <t>Yacopí</t>
  </si>
  <si>
    <t>Zipaquirá</t>
  </si>
  <si>
    <t>CHOCO</t>
  </si>
  <si>
    <t>Quibdó</t>
  </si>
  <si>
    <t>Acandí</t>
  </si>
  <si>
    <t>Alto Baudo</t>
  </si>
  <si>
    <t>Bahía Solano</t>
  </si>
  <si>
    <t>Bajo Baudó </t>
  </si>
  <si>
    <t>Bojaya</t>
  </si>
  <si>
    <t xml:space="preserve">Condoto  </t>
  </si>
  <si>
    <t>El Litoral del San Juan</t>
  </si>
  <si>
    <t>Istmina </t>
  </si>
  <si>
    <t>Medio Atrato</t>
  </si>
  <si>
    <t>Medio Baudó</t>
  </si>
  <si>
    <t>Riosucio  (CHO)</t>
  </si>
  <si>
    <t>Sipí</t>
  </si>
  <si>
    <t xml:space="preserve">Tadó  </t>
  </si>
  <si>
    <t>Unguía</t>
  </si>
  <si>
    <t>HUILA</t>
  </si>
  <si>
    <t>Neiva</t>
  </si>
  <si>
    <t>Acevedo</t>
  </si>
  <si>
    <t>Aipe</t>
  </si>
  <si>
    <t>Algeciras</t>
  </si>
  <si>
    <t>Campoalegre</t>
  </si>
  <si>
    <t>Garzón</t>
  </si>
  <si>
    <t>Gigante</t>
  </si>
  <si>
    <t>Guadalupe (HUI)</t>
  </si>
  <si>
    <t>Iquira</t>
  </si>
  <si>
    <t>Isnos</t>
  </si>
  <si>
    <t>La Plata</t>
  </si>
  <si>
    <t>Nátaga</t>
  </si>
  <si>
    <t>Palermo</t>
  </si>
  <si>
    <t>Palestina (HUI)</t>
  </si>
  <si>
    <t>Pitalito</t>
  </si>
  <si>
    <t>Rivera</t>
  </si>
  <si>
    <t>San Agustín</t>
  </si>
  <si>
    <t>Suaza</t>
  </si>
  <si>
    <t>Tarqui</t>
  </si>
  <si>
    <t>Timaná</t>
  </si>
  <si>
    <t>LA GUAJIRA</t>
  </si>
  <si>
    <t xml:space="preserve">Riohacha  </t>
  </si>
  <si>
    <t>Albania (GUA)</t>
  </si>
  <si>
    <t xml:space="preserve">Barrancas  </t>
  </si>
  <si>
    <t>Dibulla</t>
  </si>
  <si>
    <t xml:space="preserve">Fonseca  </t>
  </si>
  <si>
    <t>Hatonuevo</t>
  </si>
  <si>
    <t>Maicao </t>
  </si>
  <si>
    <t>Manaure (GUA)</t>
  </si>
  <si>
    <t>San Juan del Cesar</t>
  </si>
  <si>
    <t>Uribia</t>
  </si>
  <si>
    <t>Urumita</t>
  </si>
  <si>
    <t>Villanueva </t>
  </si>
  <si>
    <t>MAGDALENA</t>
  </si>
  <si>
    <t>Santa Marta</t>
  </si>
  <si>
    <t>Algarrobo</t>
  </si>
  <si>
    <t>Aracataca </t>
  </si>
  <si>
    <t>Ariguaní </t>
  </si>
  <si>
    <t>Cerro San Antonio </t>
  </si>
  <si>
    <t xml:space="preserve">Chivolo </t>
  </si>
  <si>
    <t>Ciénaga</t>
  </si>
  <si>
    <t>Concordia (MAG)</t>
  </si>
  <si>
    <t>El Banco</t>
  </si>
  <si>
    <t>El Piñon </t>
  </si>
  <si>
    <t>El Retén</t>
  </si>
  <si>
    <t>Fundación </t>
  </si>
  <si>
    <t>Guamal</t>
  </si>
  <si>
    <t>Nueva Granada</t>
  </si>
  <si>
    <t>Pedraza </t>
  </si>
  <si>
    <t>Pivijay </t>
  </si>
  <si>
    <t>Plato </t>
  </si>
  <si>
    <t>Puebloviejo</t>
  </si>
  <si>
    <t>Remolino</t>
  </si>
  <si>
    <t>Salamina (MAG)</t>
  </si>
  <si>
    <t>San Sebastián de Buenavista</t>
  </si>
  <si>
    <t>San Zenón</t>
  </si>
  <si>
    <t>Santa Ana </t>
  </si>
  <si>
    <t>Santa Bárbara de Pinto</t>
  </si>
  <si>
    <t>Sitionuevo</t>
  </si>
  <si>
    <t>Tenerife </t>
  </si>
  <si>
    <t>Zapayán</t>
  </si>
  <si>
    <t>Zona Bananera</t>
  </si>
  <si>
    <t>META</t>
  </si>
  <si>
    <t>Villavicencio</t>
  </si>
  <si>
    <t>Acacías</t>
  </si>
  <si>
    <t>Cumaral </t>
  </si>
  <si>
    <t>Granada (MET)</t>
  </si>
  <si>
    <t>La Macarena</t>
  </si>
  <si>
    <t>Mesetas</t>
  </si>
  <si>
    <t>Puerto Gaitán</t>
  </si>
  <si>
    <t>Puerto Lleras</t>
  </si>
  <si>
    <t>Puerto López</t>
  </si>
  <si>
    <t>Puerto Rico (MET)</t>
  </si>
  <si>
    <t>San Martín (MET)</t>
  </si>
  <si>
    <t>Uribe</t>
  </si>
  <si>
    <t>Vistahermosa</t>
  </si>
  <si>
    <t>NARIÑO</t>
  </si>
  <si>
    <t>Pasto </t>
  </si>
  <si>
    <t>Albán (NAR)</t>
  </si>
  <si>
    <t>Aldana</t>
  </si>
  <si>
    <t>Ancuyá</t>
  </si>
  <si>
    <t>Arboleda</t>
  </si>
  <si>
    <t>Barbacoas</t>
  </si>
  <si>
    <t>Belén (NAR)</t>
  </si>
  <si>
    <t>Buesaco</t>
  </si>
  <si>
    <t>Chachagüí</t>
  </si>
  <si>
    <t>Colón</t>
  </si>
  <si>
    <t>Consaca</t>
  </si>
  <si>
    <t>Contadero</t>
  </si>
  <si>
    <t>Córdoba (NAR)</t>
  </si>
  <si>
    <t>Cuaspud</t>
  </si>
  <si>
    <t>Cumbal</t>
  </si>
  <si>
    <t>Cumbitara</t>
  </si>
  <si>
    <t>El Charco </t>
  </si>
  <si>
    <t>El Tablón de Gómez</t>
  </si>
  <si>
    <t>El Tambo (NAR)</t>
  </si>
  <si>
    <t>Funes</t>
  </si>
  <si>
    <t>Guachucal</t>
  </si>
  <si>
    <t>Guaitarilla</t>
  </si>
  <si>
    <t>Gualmatán</t>
  </si>
  <si>
    <t>Iles</t>
  </si>
  <si>
    <t>Imués</t>
  </si>
  <si>
    <t>Ipiales</t>
  </si>
  <si>
    <t>La Unión (NAR)</t>
  </si>
  <si>
    <t>Leiva</t>
  </si>
  <si>
    <t>Linares</t>
  </si>
  <si>
    <t>Los Andes </t>
  </si>
  <si>
    <t>Magüi</t>
  </si>
  <si>
    <t>Mallama</t>
  </si>
  <si>
    <t>Mosquera (NAR)</t>
  </si>
  <si>
    <t>Nariño (NAR)</t>
  </si>
  <si>
    <t>Olaya Herrera </t>
  </si>
  <si>
    <t>Ospina</t>
  </si>
  <si>
    <t>Policarpa</t>
  </si>
  <si>
    <t>Potosí</t>
  </si>
  <si>
    <t>Providencia</t>
  </si>
  <si>
    <t>Puerres</t>
  </si>
  <si>
    <t>Pupiales</t>
  </si>
  <si>
    <t>Ricaurte (NAR)</t>
  </si>
  <si>
    <t>Roberto Payán</t>
  </si>
  <si>
    <t>Samaniego</t>
  </si>
  <si>
    <t>San Andres de Tumaco</t>
  </si>
  <si>
    <t>San Bernardo (NAR)</t>
  </si>
  <si>
    <t>San Pablo (NAR)</t>
  </si>
  <si>
    <t>Sandoná</t>
  </si>
  <si>
    <t>Santa Bárbara (NAR)</t>
  </si>
  <si>
    <t>Santacruz</t>
  </si>
  <si>
    <t>Sapuyes</t>
  </si>
  <si>
    <t>Taminango</t>
  </si>
  <si>
    <t>Tangua</t>
  </si>
  <si>
    <t>Túquerres</t>
  </si>
  <si>
    <t>Yacuanquer</t>
  </si>
  <si>
    <t>NORTE DE SANTANDER</t>
  </si>
  <si>
    <t>Cúcuta </t>
  </si>
  <si>
    <t>Abrego </t>
  </si>
  <si>
    <t>Cachirá </t>
  </si>
  <si>
    <t>Convención</t>
  </si>
  <si>
    <t>El Carmen</t>
  </si>
  <si>
    <t>El Tarra</t>
  </si>
  <si>
    <t>El Zulia</t>
  </si>
  <si>
    <t>Hacarí</t>
  </si>
  <si>
    <t>Los Patios</t>
  </si>
  <si>
    <t>Lourdes</t>
  </si>
  <si>
    <t>Ocaña</t>
  </si>
  <si>
    <t>Pamplona</t>
  </si>
  <si>
    <t>Puerto Santander</t>
  </si>
  <si>
    <t>San Calixto </t>
  </si>
  <si>
    <t>Sardinata</t>
  </si>
  <si>
    <t>Teorama</t>
  </si>
  <si>
    <t>Tibú</t>
  </si>
  <si>
    <t>Villa del Rosario</t>
  </si>
  <si>
    <t>QUINDIO</t>
  </si>
  <si>
    <t>Armenia (QUI)</t>
  </si>
  <si>
    <t>Buenavista (QUI)</t>
  </si>
  <si>
    <t>Calarca</t>
  </si>
  <si>
    <t>Circasia</t>
  </si>
  <si>
    <t>Córdoba</t>
  </si>
  <si>
    <t>Filandia</t>
  </si>
  <si>
    <t>Génova</t>
  </si>
  <si>
    <t>La Tebaida</t>
  </si>
  <si>
    <t>Montenegro</t>
  </si>
  <si>
    <t>Pijao</t>
  </si>
  <si>
    <t>Quimbaya</t>
  </si>
  <si>
    <t>Salento</t>
  </si>
  <si>
    <t>RISARALDA</t>
  </si>
  <si>
    <t>Pereira</t>
  </si>
  <si>
    <t>Belén de Umbría</t>
  </si>
  <si>
    <t>Dosquebradas</t>
  </si>
  <si>
    <t>La Virginia</t>
  </si>
  <si>
    <t>Mistrató</t>
  </si>
  <si>
    <t>Quinchía</t>
  </si>
  <si>
    <t>Santa Rosa de Cabal</t>
  </si>
  <si>
    <t>Santuario</t>
  </si>
  <si>
    <t>SANTANDER</t>
  </si>
  <si>
    <t>Bucaramanga</t>
  </si>
  <si>
    <t>Barbosa (SAN)</t>
  </si>
  <si>
    <t>Barichara</t>
  </si>
  <si>
    <t>Barrancabermeja</t>
  </si>
  <si>
    <t>Charalá</t>
  </si>
  <si>
    <t>Cimitarra</t>
  </si>
  <si>
    <t>Floridablanca</t>
  </si>
  <si>
    <t>Girón</t>
  </si>
  <si>
    <t>Lebríja</t>
  </si>
  <si>
    <t>Málaga</t>
  </si>
  <si>
    <t>Oiba</t>
  </si>
  <si>
    <t>Piedecuesta</t>
  </si>
  <si>
    <t>Puerto Wilches</t>
  </si>
  <si>
    <t>Rionegro (SAN)</t>
  </si>
  <si>
    <t>Sabana de Torres</t>
  </si>
  <si>
    <t>San Gil</t>
  </si>
  <si>
    <t>San Vicente de Chucurí</t>
  </si>
  <si>
    <t>Socorro</t>
  </si>
  <si>
    <t>Suratá</t>
  </si>
  <si>
    <t>Tona</t>
  </si>
  <si>
    <t>Vélez</t>
  </si>
  <si>
    <t>Zapatoca</t>
  </si>
  <si>
    <t>SUCRE</t>
  </si>
  <si>
    <t>Sincelejo</t>
  </si>
  <si>
    <t>Buenavista (Sucre)</t>
  </si>
  <si>
    <t>Caimito</t>
  </si>
  <si>
    <t>Chalán</t>
  </si>
  <si>
    <t>Coloso</t>
  </si>
  <si>
    <t>Corozal</t>
  </si>
  <si>
    <t>Coveñas</t>
  </si>
  <si>
    <t>El Roble</t>
  </si>
  <si>
    <t>Galeras</t>
  </si>
  <si>
    <t>Guaranda</t>
  </si>
  <si>
    <t>La Unión (SUC)</t>
  </si>
  <si>
    <t>Los Palmitos</t>
  </si>
  <si>
    <t>Majagual</t>
  </si>
  <si>
    <t>Morroa</t>
  </si>
  <si>
    <t>Ovejas</t>
  </si>
  <si>
    <t>Palmito</t>
  </si>
  <si>
    <t>Sampués</t>
  </si>
  <si>
    <t>San Benito Abad</t>
  </si>
  <si>
    <t>San Juan de Betulia</t>
  </si>
  <si>
    <t>San Luis de Sincé</t>
  </si>
  <si>
    <t>San Marcos</t>
  </si>
  <si>
    <t>San Onofre</t>
  </si>
  <si>
    <t>San Pedro (SUC)</t>
  </si>
  <si>
    <t>Santiago de Tolú</t>
  </si>
  <si>
    <t>Sucre (M)</t>
  </si>
  <si>
    <t>Tolú Viejo</t>
  </si>
  <si>
    <t>TOLIMA</t>
  </si>
  <si>
    <t>Ibagué</t>
  </si>
  <si>
    <t>Alpujarra</t>
  </si>
  <si>
    <t>Ataco</t>
  </si>
  <si>
    <t>Cajamarca</t>
  </si>
  <si>
    <t>Chaparral</t>
  </si>
  <si>
    <t>Coyaima</t>
  </si>
  <si>
    <t>Dolores</t>
  </si>
  <si>
    <t>Espinal</t>
  </si>
  <si>
    <t>Flandes</t>
  </si>
  <si>
    <t>Fresno</t>
  </si>
  <si>
    <t>Guamo</t>
  </si>
  <si>
    <t>Honda</t>
  </si>
  <si>
    <t>Lérida</t>
  </si>
  <si>
    <t>Líbano</t>
  </si>
  <si>
    <t>Mariquita</t>
  </si>
  <si>
    <t>Melgar</t>
  </si>
  <si>
    <t>Natagaima</t>
  </si>
  <si>
    <t>Ortega</t>
  </si>
  <si>
    <t>Planadas</t>
  </si>
  <si>
    <t>Purificación</t>
  </si>
  <si>
    <t>Rioblanco</t>
  </si>
  <si>
    <t>Roncesvalles</t>
  </si>
  <si>
    <t>Rovira</t>
  </si>
  <si>
    <t>Saldaña</t>
  </si>
  <si>
    <t>San Antonio</t>
  </si>
  <si>
    <t>VALLE DEL CAUCA</t>
  </si>
  <si>
    <t>Cali</t>
  </si>
  <si>
    <t>Alcalá</t>
  </si>
  <si>
    <t>Andalucía</t>
  </si>
  <si>
    <t>Ansermanuevo</t>
  </si>
  <si>
    <t>Argelia (VAL)</t>
  </si>
  <si>
    <t>Bolívar</t>
  </si>
  <si>
    <t>Buenaventura</t>
  </si>
  <si>
    <t>Bugalagrande</t>
  </si>
  <si>
    <t>Caicedonia</t>
  </si>
  <si>
    <t>Calima</t>
  </si>
  <si>
    <t>Candelaria (VAL)</t>
  </si>
  <si>
    <t>Cartago</t>
  </si>
  <si>
    <t>Dagua</t>
  </si>
  <si>
    <t>El Águila</t>
  </si>
  <si>
    <t>El Cairo</t>
  </si>
  <si>
    <t>El Cerrito</t>
  </si>
  <si>
    <t>El Dovio</t>
  </si>
  <si>
    <t>Florida</t>
  </si>
  <si>
    <t>Ginebra</t>
  </si>
  <si>
    <t>Guacarí</t>
  </si>
  <si>
    <t>Guadalajara de Buga</t>
  </si>
  <si>
    <t>Jamundí</t>
  </si>
  <si>
    <t>La Cumbre</t>
  </si>
  <si>
    <t>La Unión (VAL)</t>
  </si>
  <si>
    <t>La Victoria (VAL)</t>
  </si>
  <si>
    <t>Obando</t>
  </si>
  <si>
    <t>Palmira</t>
  </si>
  <si>
    <t>Pradera</t>
  </si>
  <si>
    <t>Restrepo (VAL)</t>
  </si>
  <si>
    <t>Riofrío</t>
  </si>
  <si>
    <t>Roldanillo</t>
  </si>
  <si>
    <t>San Pedro (VAL)</t>
  </si>
  <si>
    <t>Sevilla</t>
  </si>
  <si>
    <t>Toro</t>
  </si>
  <si>
    <t>Trujillo</t>
  </si>
  <si>
    <t>Tuluá</t>
  </si>
  <si>
    <t>Ulloa</t>
  </si>
  <si>
    <t>Versalles</t>
  </si>
  <si>
    <t>Vijes</t>
  </si>
  <si>
    <t>Yotoco</t>
  </si>
  <si>
    <t>Yumbo</t>
  </si>
  <si>
    <t>Zarzal</t>
  </si>
  <si>
    <t>ARAUCA</t>
  </si>
  <si>
    <t>Arauca (ARA)</t>
  </si>
  <si>
    <t>Arauquita</t>
  </si>
  <si>
    <t>Fortul</t>
  </si>
  <si>
    <t>Saravena</t>
  </si>
  <si>
    <t>Tame</t>
  </si>
  <si>
    <t>CASANARE</t>
  </si>
  <si>
    <t>Yopal</t>
  </si>
  <si>
    <t>Aguazul</t>
  </si>
  <si>
    <t>Chameza</t>
  </si>
  <si>
    <t>Maní</t>
  </si>
  <si>
    <t>Monterrey</t>
  </si>
  <si>
    <t>Paz de Ariporo</t>
  </si>
  <si>
    <t>Pore</t>
  </si>
  <si>
    <t>Tauramena</t>
  </si>
  <si>
    <t>Trinidad</t>
  </si>
  <si>
    <t>Villanueva (CAS)</t>
  </si>
  <si>
    <t>PUTUMAYO</t>
  </si>
  <si>
    <t>Mocoa</t>
  </si>
  <si>
    <t>Colón (PUT)</t>
  </si>
  <si>
    <t>Leguízamo</t>
  </si>
  <si>
    <t>Orito</t>
  </si>
  <si>
    <t>Puerto Asís</t>
  </si>
  <si>
    <t>Puerto Caicedo</t>
  </si>
  <si>
    <t>Puerto Guzmán</t>
  </si>
  <si>
    <t>San Miguel (PUT)</t>
  </si>
  <si>
    <t>Sibundoy</t>
  </si>
  <si>
    <t>Valle del Guamuez</t>
  </si>
  <si>
    <t>Villagarzón</t>
  </si>
  <si>
    <t>ARCHIPIELAGO DE SAN ANDRES</t>
  </si>
  <si>
    <t>Providencia (SAN)</t>
  </si>
  <si>
    <t>San Andrés (SAN)</t>
  </si>
  <si>
    <t>AMAZONAS</t>
  </si>
  <si>
    <t>Leticia</t>
  </si>
  <si>
    <t>La Chorrera (ANM)</t>
  </si>
  <si>
    <t>El Encanto (AMA)</t>
  </si>
  <si>
    <t>La Pedrera (ANM)</t>
  </si>
  <si>
    <t>Puerto Alegría (ANM)</t>
  </si>
  <si>
    <t>Puerto Nariño</t>
  </si>
  <si>
    <t>Puerto Santander (AMA)</t>
  </si>
  <si>
    <t>Tarapacá (ANM)</t>
  </si>
  <si>
    <t>GUAINIA</t>
  </si>
  <si>
    <t>Inírida</t>
  </si>
  <si>
    <t>Barranco Minas (ANM)</t>
  </si>
  <si>
    <t>GUAVIARE</t>
  </si>
  <si>
    <t>San José del Guaviare</t>
  </si>
  <si>
    <t>Calamar (GUA)</t>
  </si>
  <si>
    <t>El Retorno</t>
  </si>
  <si>
    <t>Miraflores (GUA)</t>
  </si>
  <si>
    <t>VAUPES</t>
  </si>
  <si>
    <t>Mitú</t>
  </si>
  <si>
    <t>VICHADA</t>
  </si>
  <si>
    <t>Puerto Carreño</t>
  </si>
  <si>
    <t>Cumaribo</t>
  </si>
  <si>
    <t>BOGOTA</t>
  </si>
  <si>
    <t>BOGOTÁ D.C.</t>
  </si>
  <si>
    <t>NNA por Grupos</t>
  </si>
  <si>
    <t>Codigo DEP</t>
  </si>
  <si>
    <t>NOM DEPTO</t>
  </si>
  <si>
    <t>NOM MUN</t>
  </si>
  <si>
    <t xml:space="preserve">Código Mun </t>
  </si>
  <si>
    <t>Antioquia</t>
  </si>
  <si>
    <t>Abriaquí</t>
  </si>
  <si>
    <t>Alejandría</t>
  </si>
  <si>
    <t>Angelópolis</t>
  </si>
  <si>
    <t>Angostura</t>
  </si>
  <si>
    <t>Anza</t>
  </si>
  <si>
    <t>Armenia</t>
  </si>
  <si>
    <t>Belmira</t>
  </si>
  <si>
    <t>Betania</t>
  </si>
  <si>
    <t>Ciudad Bolívar</t>
  </si>
  <si>
    <t>Campamento</t>
  </si>
  <si>
    <t>Caracolí</t>
  </si>
  <si>
    <t>Caramanta</t>
  </si>
  <si>
    <t>Concepción</t>
  </si>
  <si>
    <t>Don Matías</t>
  </si>
  <si>
    <t>Ebéjico</t>
  </si>
  <si>
    <t>Gómez Plata</t>
  </si>
  <si>
    <t>Guadalupe</t>
  </si>
  <si>
    <t>Guatapé</t>
  </si>
  <si>
    <t>Heliconia</t>
  </si>
  <si>
    <t>Hispania</t>
  </si>
  <si>
    <t>Jericó</t>
  </si>
  <si>
    <t>La Pintada</t>
  </si>
  <si>
    <t>Liborina</t>
  </si>
  <si>
    <t>Montebello</t>
  </si>
  <si>
    <t>Peñol</t>
  </si>
  <si>
    <t>Pueblorrico</t>
  </si>
  <si>
    <t>Puerto Nare</t>
  </si>
  <si>
    <t>Sabanalarga</t>
  </si>
  <si>
    <t>San Andrés de Cuerquía</t>
  </si>
  <si>
    <t>San Francisco</t>
  </si>
  <si>
    <t>San Jerónimo</t>
  </si>
  <si>
    <t>San José de La Montaña</t>
  </si>
  <si>
    <t>San Pedro</t>
  </si>
  <si>
    <t>Santa Bárbara</t>
  </si>
  <si>
    <t>Santa Rosa de Osos</t>
  </si>
  <si>
    <t>Sopetrán</t>
  </si>
  <si>
    <t>Tarso</t>
  </si>
  <si>
    <t>Titiribí</t>
  </si>
  <si>
    <t>Toledo</t>
  </si>
  <si>
    <t>Uramita</t>
  </si>
  <si>
    <t>Valparaíso</t>
  </si>
  <si>
    <t>Vegachí</t>
  </si>
  <si>
    <t>Yolombó</t>
  </si>
  <si>
    <t>Atlántico</t>
  </si>
  <si>
    <t>Arenal</t>
  </si>
  <si>
    <t>Cicuco</t>
  </si>
  <si>
    <t>El Guamo</t>
  </si>
  <si>
    <t>El Peñón</t>
  </si>
  <si>
    <t>Hatillo de Loba</t>
  </si>
  <si>
    <t>Margarita</t>
  </si>
  <si>
    <t>Norosí</t>
  </si>
  <si>
    <t>Pinillos</t>
  </si>
  <si>
    <t>Regidor</t>
  </si>
  <si>
    <t>Río Viejo</t>
  </si>
  <si>
    <t>San Estanislao</t>
  </si>
  <si>
    <t>San Fernando</t>
  </si>
  <si>
    <t>San Jacinto del Cauca</t>
  </si>
  <si>
    <t>San Martín de Loba</t>
  </si>
  <si>
    <t>Turbaná</t>
  </si>
  <si>
    <t>Zambrano</t>
  </si>
  <si>
    <t>Boyacá</t>
  </si>
  <si>
    <t>Almeida</t>
  </si>
  <si>
    <t>Arcabuco</t>
  </si>
  <si>
    <t>Belén</t>
  </si>
  <si>
    <t>Berbeo</t>
  </si>
  <si>
    <t>Betéitiva</t>
  </si>
  <si>
    <t>Boavita</t>
  </si>
  <si>
    <t>Buenavista</t>
  </si>
  <si>
    <t>Busbanzá</t>
  </si>
  <si>
    <t>Caldas</t>
  </si>
  <si>
    <t>Campohermoso</t>
  </si>
  <si>
    <t>Cerinza</t>
  </si>
  <si>
    <t>Chinavita</t>
  </si>
  <si>
    <t>Chiscas</t>
  </si>
  <si>
    <t>Chita</t>
  </si>
  <si>
    <t>Chitaraque</t>
  </si>
  <si>
    <t>Chivatá</t>
  </si>
  <si>
    <t>Ciénega</t>
  </si>
  <si>
    <t>Coper</t>
  </si>
  <si>
    <t>Cubará</t>
  </si>
  <si>
    <t>Chíquiza</t>
  </si>
  <si>
    <t>Chivor</t>
  </si>
  <si>
    <t>Guacamayas</t>
  </si>
  <si>
    <t>Guayatá</t>
  </si>
  <si>
    <t>Güicán</t>
  </si>
  <si>
    <t>Iza</t>
  </si>
  <si>
    <t>Jenesano</t>
  </si>
  <si>
    <t>Labranzagrande</t>
  </si>
  <si>
    <t>La Capilla</t>
  </si>
  <si>
    <t>La Victoria</t>
  </si>
  <si>
    <t>La Uvita</t>
  </si>
  <si>
    <t>Macanal</t>
  </si>
  <si>
    <t>Maripí</t>
  </si>
  <si>
    <t>Miraflores</t>
  </si>
  <si>
    <t>Mongua</t>
  </si>
  <si>
    <t>Monguí</t>
  </si>
  <si>
    <t>Motavita</t>
  </si>
  <si>
    <t>Nobsa</t>
  </si>
  <si>
    <t>Nuevo Colón</t>
  </si>
  <si>
    <t>Oicatá</t>
  </si>
  <si>
    <t>Otanche</t>
  </si>
  <si>
    <t>Pachavita</t>
  </si>
  <si>
    <t>Páez</t>
  </si>
  <si>
    <t>Pajarito</t>
  </si>
  <si>
    <t>Panqueba</t>
  </si>
  <si>
    <t>Pauna</t>
  </si>
  <si>
    <t>Paya</t>
  </si>
  <si>
    <t>Pisba</t>
  </si>
  <si>
    <t>Quípama</t>
  </si>
  <si>
    <t>Ramiriquí</t>
  </si>
  <si>
    <t>Ráquira</t>
  </si>
  <si>
    <t>Rondón</t>
  </si>
  <si>
    <t>Saboyá</t>
  </si>
  <si>
    <t>Sáchica</t>
  </si>
  <si>
    <t>San Eduardo</t>
  </si>
  <si>
    <t>San José de Pare</t>
  </si>
  <si>
    <t>San Luis de Gaceno</t>
  </si>
  <si>
    <t>San Mateo</t>
  </si>
  <si>
    <t>San Miguel de Sema</t>
  </si>
  <si>
    <t>San Pablo de Borbur</t>
  </si>
  <si>
    <t>Santa María</t>
  </si>
  <si>
    <t>Santa Sofía</t>
  </si>
  <si>
    <t>Sativanorte</t>
  </si>
  <si>
    <t>Sativasur</t>
  </si>
  <si>
    <t>Siachoque</t>
  </si>
  <si>
    <t>Soatá</t>
  </si>
  <si>
    <t>Socha</t>
  </si>
  <si>
    <t>Somondoco</t>
  </si>
  <si>
    <t>Sora</t>
  </si>
  <si>
    <t>Sotaquirá</t>
  </si>
  <si>
    <t>Soracá</t>
  </si>
  <si>
    <t>Susacón</t>
  </si>
  <si>
    <t>Sutamarchán</t>
  </si>
  <si>
    <t>Sutatenza</t>
  </si>
  <si>
    <t>Tasco</t>
  </si>
  <si>
    <t>Tenza</t>
  </si>
  <si>
    <t>Tibaná</t>
  </si>
  <si>
    <t>Tibasosa</t>
  </si>
  <si>
    <t>Tinjacá</t>
  </si>
  <si>
    <t>Togüí</t>
  </si>
  <si>
    <t>Tópaga</t>
  </si>
  <si>
    <t>Tota</t>
  </si>
  <si>
    <t>Tununguá</t>
  </si>
  <si>
    <t>Turmequé</t>
  </si>
  <si>
    <t>Tuta</t>
  </si>
  <si>
    <t>Tutazá</t>
  </si>
  <si>
    <t>Umbita</t>
  </si>
  <si>
    <t>Ventaquemada</t>
  </si>
  <si>
    <t>Viracachá</t>
  </si>
  <si>
    <t>Zetaquira</t>
  </si>
  <si>
    <t>Caquetá</t>
  </si>
  <si>
    <t>Albania</t>
  </si>
  <si>
    <t>Curillo</t>
  </si>
  <si>
    <t>Morelia</t>
  </si>
  <si>
    <t>Cauca</t>
  </si>
  <si>
    <t>Jambaló</t>
  </si>
  <si>
    <t>La Sierra</t>
  </si>
  <si>
    <t>Padilla</t>
  </si>
  <si>
    <t>Puracé</t>
  </si>
  <si>
    <t>Rosas</t>
  </si>
  <si>
    <t>San Sebastián</t>
  </si>
  <si>
    <t>Santa Rosa </t>
  </si>
  <si>
    <t>Sucre</t>
  </si>
  <si>
    <t>Cesar</t>
  </si>
  <si>
    <t>González</t>
  </si>
  <si>
    <t>La Gloria</t>
  </si>
  <si>
    <t>Cundinamarca</t>
  </si>
  <si>
    <t>Albán</t>
  </si>
  <si>
    <t>Anapoima</t>
  </si>
  <si>
    <t>Anolaima</t>
  </si>
  <si>
    <t>Arbeláez</t>
  </si>
  <si>
    <t>Beltrán</t>
  </si>
  <si>
    <t>Bituima</t>
  </si>
  <si>
    <t>Bojacá</t>
  </si>
  <si>
    <t>Cachipay</t>
  </si>
  <si>
    <t>Caparrapí</t>
  </si>
  <si>
    <t>Carmen de Carupa</t>
  </si>
  <si>
    <t>Chaguaní</t>
  </si>
  <si>
    <t>Chipaque</t>
  </si>
  <si>
    <t>Choachí</t>
  </si>
  <si>
    <t>Cota</t>
  </si>
  <si>
    <t>Fomeque</t>
  </si>
  <si>
    <t>Fosca</t>
  </si>
  <si>
    <t>Fúquene</t>
  </si>
  <si>
    <t>Gachala</t>
  </si>
  <si>
    <t>Gachancipá</t>
  </si>
  <si>
    <t>Gachetá</t>
  </si>
  <si>
    <t>Guachetá</t>
  </si>
  <si>
    <t>Guasca</t>
  </si>
  <si>
    <t>Guataquí</t>
  </si>
  <si>
    <t>Guayabal de Siquima</t>
  </si>
  <si>
    <t>Guayabetal</t>
  </si>
  <si>
    <t>Gutiérrez</t>
  </si>
  <si>
    <t>Jerusalén</t>
  </si>
  <si>
    <t>Junín</t>
  </si>
  <si>
    <t>La Peña</t>
  </si>
  <si>
    <t>Lenguazaque</t>
  </si>
  <si>
    <t>Macheta</t>
  </si>
  <si>
    <t>Manta</t>
  </si>
  <si>
    <t>Medina</t>
  </si>
  <si>
    <t>Nemocón</t>
  </si>
  <si>
    <t>Nilo</t>
  </si>
  <si>
    <t>Nimaima</t>
  </si>
  <si>
    <t>Nocaima</t>
  </si>
  <si>
    <t>Paime</t>
  </si>
  <si>
    <t>Pandi</t>
  </si>
  <si>
    <t>Paratebueno</t>
  </si>
  <si>
    <t>Pulí</t>
  </si>
  <si>
    <t>Quebradanegra</t>
  </si>
  <si>
    <t>Quetame</t>
  </si>
  <si>
    <t>Quipile</t>
  </si>
  <si>
    <t>Ricaurte</t>
  </si>
  <si>
    <t>San Antonio del Tequendama</t>
  </si>
  <si>
    <t>San Bernardo</t>
  </si>
  <si>
    <t>San Cayetano</t>
  </si>
  <si>
    <t>Sasaima</t>
  </si>
  <si>
    <t>Sesquilé</t>
  </si>
  <si>
    <t>Silvania</t>
  </si>
  <si>
    <t xml:space="preserve">Subachoque </t>
  </si>
  <si>
    <t>Suesca</t>
  </si>
  <si>
    <t>Supatá</t>
  </si>
  <si>
    <t>Susa</t>
  </si>
  <si>
    <t>Tabio</t>
  </si>
  <si>
    <t>Tausa</t>
  </si>
  <si>
    <t>Tena</t>
  </si>
  <si>
    <t>Tibacuy</t>
  </si>
  <si>
    <t>Tibirita</t>
  </si>
  <si>
    <t>Topaipí</t>
  </si>
  <si>
    <t>Ubalá</t>
  </si>
  <si>
    <t>Ubaque</t>
  </si>
  <si>
    <t>Une</t>
  </si>
  <si>
    <t>Vergara</t>
  </si>
  <si>
    <t>Vianí</t>
  </si>
  <si>
    <t>Villagómez</t>
  </si>
  <si>
    <t>Villapinzón</t>
  </si>
  <si>
    <t>Zipacón</t>
  </si>
  <si>
    <t>Chocó</t>
  </si>
  <si>
    <t>Atrato</t>
  </si>
  <si>
    <t>Bagadó </t>
  </si>
  <si>
    <t>El Cantón del San Pablo</t>
  </si>
  <si>
    <t>Carmen del Darien</t>
  </si>
  <si>
    <t>Cértegui</t>
  </si>
  <si>
    <t>El Carmen de Atrato</t>
  </si>
  <si>
    <t>Juradó</t>
  </si>
  <si>
    <t>Lloró </t>
  </si>
  <si>
    <t>Medio San Juan</t>
  </si>
  <si>
    <t xml:space="preserve">Nóvita  </t>
  </si>
  <si>
    <t>Nuquí</t>
  </si>
  <si>
    <t>Río Iro</t>
  </si>
  <si>
    <t>Río Quito</t>
  </si>
  <si>
    <t>San José del Palmar</t>
  </si>
  <si>
    <t>Unión Panamericana</t>
  </si>
  <si>
    <t>Huila</t>
  </si>
  <si>
    <t>Agrado</t>
  </si>
  <si>
    <t>Altamira</t>
  </si>
  <si>
    <t>Baraya</t>
  </si>
  <si>
    <t>Colombia</t>
  </si>
  <si>
    <t>Elías</t>
  </si>
  <si>
    <t>Hobo</t>
  </si>
  <si>
    <t>La Argentina</t>
  </si>
  <si>
    <t>Oporapa</t>
  </si>
  <si>
    <t>Paicol</t>
  </si>
  <si>
    <t>Pital</t>
  </si>
  <si>
    <t>Saladoblanco</t>
  </si>
  <si>
    <t>Tesalia</t>
  </si>
  <si>
    <t>Tello</t>
  </si>
  <si>
    <t>Teruel</t>
  </si>
  <si>
    <t>Villavieja</t>
  </si>
  <si>
    <t>Yaguará</t>
  </si>
  <si>
    <t>La Guajira</t>
  </si>
  <si>
    <t>Distracción</t>
  </si>
  <si>
    <t>El Molino</t>
  </si>
  <si>
    <t>La Jagua del Pilar</t>
  </si>
  <si>
    <t>Magdalena</t>
  </si>
  <si>
    <t>Pijiño del Carmen</t>
  </si>
  <si>
    <t>Sabanas de San Angel</t>
  </si>
  <si>
    <t>Meta</t>
  </si>
  <si>
    <t>Barranca de Upía</t>
  </si>
  <si>
    <t>Cabuyaro</t>
  </si>
  <si>
    <t>Castilla la Nueva</t>
  </si>
  <si>
    <t>Cubarral</t>
  </si>
  <si>
    <t>El Calvario</t>
  </si>
  <si>
    <t>El Castillo</t>
  </si>
  <si>
    <t>El Dorado</t>
  </si>
  <si>
    <t>Fuente de Oro</t>
  </si>
  <si>
    <t>Mapiripán</t>
  </si>
  <si>
    <t>Lejanías</t>
  </si>
  <si>
    <t>Puerto Concordia</t>
  </si>
  <si>
    <t>Restrepo</t>
  </si>
  <si>
    <t>San Carlos de Guaroa</t>
  </si>
  <si>
    <t>San Juan de Arama</t>
  </si>
  <si>
    <t>San Juanito</t>
  </si>
  <si>
    <t>El Peñol</t>
  </si>
  <si>
    <t>El Rosario</t>
  </si>
  <si>
    <t>La Cruz</t>
  </si>
  <si>
    <t>La Florida</t>
  </si>
  <si>
    <t>La Llanada</t>
  </si>
  <si>
    <t>La Tola</t>
  </si>
  <si>
    <t>Francisco Pizarro</t>
  </si>
  <si>
    <t>San Lorenzo</t>
  </si>
  <si>
    <t>San Pedro de Cartago</t>
  </si>
  <si>
    <t>Norte de Santander</t>
  </si>
  <si>
    <t>Arboledas</t>
  </si>
  <si>
    <t>Bochalema</t>
  </si>
  <si>
    <t>Bucarasica</t>
  </si>
  <si>
    <t>Cácota</t>
  </si>
  <si>
    <t>Chinácota</t>
  </si>
  <si>
    <t>Chitagá</t>
  </si>
  <si>
    <t>Cucutilla</t>
  </si>
  <si>
    <t>Durania</t>
  </si>
  <si>
    <t>Gramalote</t>
  </si>
  <si>
    <t>Herrán</t>
  </si>
  <si>
    <t>Labateca</t>
  </si>
  <si>
    <t>La Esperanza</t>
  </si>
  <si>
    <t>La Playa</t>
  </si>
  <si>
    <t>Mutiscua</t>
  </si>
  <si>
    <t>Pamplonita</t>
  </si>
  <si>
    <t>Ragonvalia</t>
  </si>
  <si>
    <t>Salazar</t>
  </si>
  <si>
    <t>Santiago</t>
  </si>
  <si>
    <t>Silos</t>
  </si>
  <si>
    <t>Villa Caro</t>
  </si>
  <si>
    <t>Quindío</t>
  </si>
  <si>
    <t>Risaralda</t>
  </si>
  <si>
    <t>Apía</t>
  </si>
  <si>
    <t>Guática</t>
  </si>
  <si>
    <t>La Celia</t>
  </si>
  <si>
    <t>Marsella</t>
  </si>
  <si>
    <t>Pueblo Rico</t>
  </si>
  <si>
    <t>Santander</t>
  </si>
  <si>
    <t>Aguada</t>
  </si>
  <si>
    <t>Aratoca</t>
  </si>
  <si>
    <t xml:space="preserve">Bolívar </t>
  </si>
  <si>
    <t>California</t>
  </si>
  <si>
    <t>Capitanejo</t>
  </si>
  <si>
    <t>Carcasí</t>
  </si>
  <si>
    <t>Cepitá</t>
  </si>
  <si>
    <t>Cerrito</t>
  </si>
  <si>
    <t>Charta</t>
  </si>
  <si>
    <t>Chima</t>
  </si>
  <si>
    <t>Chipatá</t>
  </si>
  <si>
    <t>Confines</t>
  </si>
  <si>
    <t>Contratación</t>
  </si>
  <si>
    <t>Coromoro</t>
  </si>
  <si>
    <t>Curití</t>
  </si>
  <si>
    <t>El Carmen de Chucurí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</si>
  <si>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</si>
  <si>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</si>
  <si>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</si>
  <si>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</si>
  <si>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</si>
  <si>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</si>
  <si>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</si>
  <si>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</si>
  <si>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</si>
  <si>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</si>
  <si>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</si>
  <si>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</si>
  <si>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</si>
  <si>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</si>
  <si>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</si>
  <si>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</si>
  <si>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Los Santos</t>
  </si>
  <si>
    <t>Macaravita</t>
  </si>
  <si>
    <t>Matanza</t>
  </si>
  <si>
    <t>Mogotes</t>
  </si>
  <si>
    <t>Molagavita</t>
  </si>
  <si>
    <t>Ocamonte</t>
  </si>
  <si>
    <t>Onzaga</t>
  </si>
  <si>
    <t>Palmar</t>
  </si>
  <si>
    <t>Palmas del Socorro</t>
  </si>
  <si>
    <t>Páramo</t>
  </si>
  <si>
    <t>Pinchote</t>
  </si>
  <si>
    <t>Puente Nacional</t>
  </si>
  <si>
    <t>Puerto Parra</t>
  </si>
  <si>
    <t>San Andrés</t>
  </si>
  <si>
    <t>San Benito</t>
  </si>
  <si>
    <t>San Joaquín</t>
  </si>
  <si>
    <t>San José de Miranda</t>
  </si>
  <si>
    <t>San Miguel</t>
  </si>
  <si>
    <t>Santa Helena del Opón</t>
  </si>
  <si>
    <t>Simacota</t>
  </si>
  <si>
    <t>Suaita</t>
  </si>
  <si>
    <t>Valle de San José</t>
  </si>
  <si>
    <t>Vetas</t>
  </si>
  <si>
    <t>Villanueva</t>
  </si>
  <si>
    <t>Tolima</t>
  </si>
  <si>
    <t>Alvarado</t>
  </si>
  <si>
    <t>Ambalema</t>
  </si>
  <si>
    <t>Anzoátegui</t>
  </si>
  <si>
    <t>Armero</t>
  </si>
  <si>
    <t>Carmen de Apicalá</t>
  </si>
  <si>
    <t>Casabianca</t>
  </si>
  <si>
    <t>Coello</t>
  </si>
  <si>
    <t>Cunday</t>
  </si>
  <si>
    <t>Falan</t>
  </si>
  <si>
    <t>Herveo</t>
  </si>
  <si>
    <t>Icononzo</t>
  </si>
  <si>
    <t>Murillo</t>
  </si>
  <si>
    <t>Palocabildo</t>
  </si>
  <si>
    <t>Piedras</t>
  </si>
  <si>
    <t>Prado</t>
  </si>
  <si>
    <t>San Luis (TOL)</t>
  </si>
  <si>
    <t>Santa Isabel</t>
  </si>
  <si>
    <t>Valle de San Juan</t>
  </si>
  <si>
    <t>Venadillo</t>
  </si>
  <si>
    <t>Villahermosa</t>
  </si>
  <si>
    <t>Villarrica</t>
  </si>
  <si>
    <t>Valle Del Cauca</t>
  </si>
  <si>
    <t>Arauca</t>
  </si>
  <si>
    <t>Cravo Norte</t>
  </si>
  <si>
    <t>Puerto Rondón</t>
  </si>
  <si>
    <t>Casanare</t>
  </si>
  <si>
    <t>Hato Corozal</t>
  </si>
  <si>
    <t>La Salina</t>
  </si>
  <si>
    <t>Nunchía</t>
  </si>
  <si>
    <t>Orocué</t>
  </si>
  <si>
    <t>Recetor</t>
  </si>
  <si>
    <t>Sácama</t>
  </si>
  <si>
    <t>San Luis de Palenque</t>
  </si>
  <si>
    <t>Támara</t>
  </si>
  <si>
    <t>Putumayo</t>
  </si>
  <si>
    <t>Santiago (PUT)</t>
  </si>
  <si>
    <t>Amazonas</t>
  </si>
  <si>
    <t>La Victoria (ANM)</t>
  </si>
  <si>
    <t>Miriti - Paraná (ANM)</t>
  </si>
  <si>
    <t>Puerto Arica (ANM)</t>
  </si>
  <si>
    <t>Guainía</t>
  </si>
  <si>
    <t>Mapiripana (ANM)</t>
  </si>
  <si>
    <t>San Felipe (ANM)</t>
  </si>
  <si>
    <t>Puerto Colombia (ANM)</t>
  </si>
  <si>
    <t>La Guadalupe (ANM)</t>
  </si>
  <si>
    <t>Cacahual (ANM)</t>
  </si>
  <si>
    <t>Pana Pana (ANM)</t>
  </si>
  <si>
    <t>Morichal (ANM)</t>
  </si>
  <si>
    <t>Guaviare</t>
  </si>
  <si>
    <t>Vaupés</t>
  </si>
  <si>
    <t>Caruru</t>
  </si>
  <si>
    <t>Pacoa (ANM)</t>
  </si>
  <si>
    <t>Taraira</t>
  </si>
  <si>
    <t>Papunaua (ANM)</t>
  </si>
  <si>
    <t>Yavaraté (ANM)</t>
  </si>
  <si>
    <t>Vichada</t>
  </si>
  <si>
    <t>La Primavera</t>
  </si>
  <si>
    <t>Santa Rosalía</t>
  </si>
  <si>
    <t>TOTAL</t>
  </si>
  <si>
    <t>Total general</t>
  </si>
  <si>
    <t xml:space="preserve">Grupos por promotor de derechos </t>
  </si>
  <si>
    <t>Meses</t>
  </si>
  <si>
    <t xml:space="preserve">ASIGNACIÓN BASICA MENSUAL </t>
  </si>
  <si>
    <t xml:space="preserve">% DEDICACIÓN TALENTO HUMANO </t>
  </si>
  <si>
    <t>----</t>
  </si>
  <si>
    <t>Promotor de Derechos</t>
  </si>
  <si>
    <t>EQUIPO DE TRABAJO BASE</t>
  </si>
  <si>
    <t>Valor mes
 (honorarios o salarios mensuales)</t>
  </si>
  <si>
    <t>Tiempo de ejecución (mes) 2013--&gt;</t>
  </si>
  <si>
    <t xml:space="preserve">PÓLIZAS
</t>
  </si>
  <si>
    <t>CONCEPTO</t>
  </si>
  <si>
    <t>COBERTURA</t>
  </si>
  <si>
    <t>VALOR A CUBRIR</t>
  </si>
  <si>
    <t>Prima</t>
  </si>
  <si>
    <t>Garantía de Seriedad de la oferta</t>
  </si>
  <si>
    <t>Cumplimiento</t>
  </si>
  <si>
    <t>Salarios, Prestaciones</t>
  </si>
  <si>
    <t>Calidad de los Servicios</t>
  </si>
  <si>
    <t>Responsabilidad civil extracontractual</t>
  </si>
  <si>
    <t>TOTAL POLIZAS</t>
  </si>
  <si>
    <t>Costo Total Por Zona</t>
  </si>
  <si>
    <t>PLAZO</t>
  </si>
  <si>
    <t xml:space="preserve"> </t>
  </si>
  <si>
    <t>CATEGORIA DE COSTO</t>
  </si>
  <si>
    <t xml:space="preserve">CARGO </t>
  </si>
  <si>
    <t>% En el proyecto</t>
  </si>
  <si>
    <t>Valor Total en el proyecto</t>
  </si>
  <si>
    <t>TABLA DE VIATICOS ICBF - 2011</t>
  </si>
  <si>
    <t>Salarios</t>
  </si>
  <si>
    <t>Viaticos 2012</t>
  </si>
  <si>
    <t>DENOMINACION DEL CARGO</t>
  </si>
  <si>
    <t>GRADO</t>
  </si>
  <si>
    <t>ASIGNACION</t>
  </si>
  <si>
    <t>100%</t>
  </si>
  <si>
    <r>
      <t>50%</t>
    </r>
    <r>
      <rPr>
        <b/>
        <sz val="10"/>
        <rFont val="Arial"/>
        <family val="2"/>
      </rPr>
      <t>50%</t>
    </r>
  </si>
  <si>
    <t>DIRECTOR GENERAL</t>
  </si>
  <si>
    <t>0015</t>
  </si>
  <si>
    <t xml:space="preserve">SECRETARIO GENERAL </t>
  </si>
  <si>
    <t>0037</t>
  </si>
  <si>
    <t>DIRECTOR TECNICO</t>
  </si>
  <si>
    <t>0100</t>
  </si>
  <si>
    <t>SUBDIRECTOR</t>
  </si>
  <si>
    <t>0150</t>
  </si>
  <si>
    <t>ASESOR</t>
  </si>
  <si>
    <t>JEFE DE OFICINA CONTROL INTERNO</t>
  </si>
  <si>
    <t>JEFE OFICINA CONTROL INTERNO DISCIPLINARIO</t>
  </si>
  <si>
    <t>JEFE DE OFICINA JURIDICA</t>
  </si>
  <si>
    <t>JEFE DE OFICINA DE PRENSA</t>
  </si>
  <si>
    <t>DIRECTOR REGIONAL</t>
  </si>
  <si>
    <t>PROFESIONAL ESPECIALIZADO</t>
  </si>
  <si>
    <t>PROFESIONAL UNIVERSITARIO</t>
  </si>
  <si>
    <t>DEFENSOR DE FAMILIA</t>
  </si>
  <si>
    <t>TECNICO ADMINISTRATIVO</t>
  </si>
  <si>
    <t>TECNICO OPERATIVO</t>
  </si>
  <si>
    <t>SECRETARIO EJECUTIVO</t>
  </si>
  <si>
    <t>AUXILIAR ADMINISTRATIVO</t>
  </si>
  <si>
    <t xml:space="preserve">SECRETARIO </t>
  </si>
  <si>
    <t>SECRETARIO</t>
  </si>
  <si>
    <t>OPERARIO CALIFICADO</t>
  </si>
  <si>
    <t>CONDUCTOR MECANICO</t>
  </si>
  <si>
    <t>AUXILIAR DE SERVICIOS GENERALES</t>
  </si>
  <si>
    <t>GASTO DE TRANSPORTE LOCAL: Se reconocera un valor de $32,136 por cada desplazamiento del lugar de residencia u oficina al Aeropuerto El Dorado - Bogotá. Y viceversa para un total de $64,272.
- Cuando las comisiones se cumplan a las ciudades de: CALI, PASTO, BARRANQUILLA, BUCARAMANGA, LETICIA Y ARMENIA, se les reconocerá la suma de $128,544                                                                                                                                                                                                        - A la ciudad de Medellín siempre y cuando el arribo sea por el aeropuerto de Rionegro o sea el valor de $149,968                                                                                                                                                                                               - Cuando la Comiisón es por via terrestre se le reconocera un valor de $21,424, por el transporte a Terminales Terrestres más el valor de los pasajes intermunicipales( del cuál se debe traer los tiquetes para legalizar el valr del transporte).</t>
  </si>
  <si>
    <t>PRECIOS DE REFERENCIA PARA REALIZAR LOS CALCULOS DE TRANSPORTE Y VIATICOS</t>
  </si>
  <si>
    <t>Transporte 2012</t>
  </si>
  <si>
    <t>Fuente de costos transporte:</t>
  </si>
  <si>
    <t>Modelo Control y Supervisión de Estándares</t>
  </si>
  <si>
    <t>DEPARTAMENTO</t>
  </si>
  <si>
    <t>Perímetro urbano</t>
  </si>
  <si>
    <t>Hasta 2 horas</t>
  </si>
  <si>
    <t>Entre 2 y 8 Horas</t>
  </si>
  <si>
    <t>Más de 8 horas</t>
  </si>
  <si>
    <t>Bogotá</t>
  </si>
  <si>
    <t>Valle del cauca</t>
  </si>
  <si>
    <t>Valle</t>
  </si>
  <si>
    <t>Calculo para estimar el total de Encuestadores y supervisores.</t>
  </si>
  <si>
    <t>Datos Iniciales</t>
  </si>
  <si>
    <t xml:space="preserve">Dias Hábiles Enero </t>
  </si>
  <si>
    <t>Dias Hábiles Febrero</t>
  </si>
  <si>
    <t xml:space="preserve">Horas Laborales </t>
  </si>
  <si>
    <t xml:space="preserve">Numero De Madres a Encuestar </t>
  </si>
  <si>
    <t>No Madres a Encuestar dia.</t>
  </si>
  <si>
    <t>Minutos empleados en Encuesta</t>
  </si>
  <si>
    <t>CABECERA</t>
  </si>
  <si>
    <t>URBANA</t>
  </si>
  <si>
    <t>RURAL</t>
  </si>
  <si>
    <t>RESTO</t>
  </si>
  <si>
    <t>Horas Laborales Dia</t>
  </si>
  <si>
    <t>Minutos Laborales Dia</t>
  </si>
  <si>
    <t xml:space="preserve">Una persona puede realizar en un dia </t>
  </si>
  <si>
    <t xml:space="preserve">Personal Nec. Real. Encuestas. </t>
  </si>
  <si>
    <t>Maximo de visitas que puede efectuar en un dia</t>
  </si>
  <si>
    <t xml:space="preserve">Perimetro Urbano </t>
  </si>
  <si>
    <t>Hasta dos Horas</t>
  </si>
  <si>
    <t xml:space="preserve">Entre 2 Horas y 8 Horas </t>
  </si>
  <si>
    <t xml:space="preserve">Mas de 8 Horas </t>
  </si>
  <si>
    <t xml:space="preserve">Distribución de Madres Comunitarias a visitar </t>
  </si>
  <si>
    <t xml:space="preserve">Costo de Transporte </t>
  </si>
  <si>
    <t>costo de Viaticos</t>
  </si>
  <si>
    <t>DEPARTAMENTAL</t>
  </si>
  <si>
    <t>TOTAL 
HCB</t>
  </si>
  <si>
    <t>No. Madres Comunitarias</t>
  </si>
  <si>
    <t>Total Madres Comunitarias</t>
  </si>
  <si>
    <t>Total Dias Requeridos</t>
  </si>
  <si>
    <t>NARINO</t>
  </si>
  <si>
    <t>SAN ANDRES</t>
  </si>
  <si>
    <t>SEDE NACIONAL</t>
  </si>
  <si>
    <t>Transporte 2013</t>
  </si>
  <si>
    <t>Viáticos 2013</t>
  </si>
  <si>
    <t>($ 2013)</t>
  </si>
  <si>
    <t>Viaticos 2013</t>
  </si>
  <si>
    <t>Fotocopia 2012</t>
  </si>
  <si>
    <t>IPC 2012 ---&gt;</t>
  </si>
  <si>
    <t>Fotocopias 2013</t>
  </si>
  <si>
    <t xml:space="preserve">TRANSPORTE </t>
  </si>
  <si>
    <t>Antioquia zona 1</t>
  </si>
  <si>
    <t>Antioquia zona 2</t>
  </si>
  <si>
    <t>La guajira</t>
  </si>
  <si>
    <t>Norte de santander</t>
  </si>
  <si>
    <t xml:space="preserve">Coordinador general </t>
  </si>
  <si>
    <t>Coordinador de Garantia de Derechos</t>
  </si>
  <si>
    <t xml:space="preserve">TRANSPORTE PROMOTORES DE DERECHOS </t>
  </si>
  <si>
    <t>PROMOTORES</t>
  </si>
  <si>
    <t>Celular</t>
  </si>
  <si>
    <t>Costo Total</t>
  </si>
  <si>
    <t xml:space="preserve">Costo Mes </t>
  </si>
  <si>
    <t xml:space="preserve">Costo Unidad </t>
  </si>
  <si>
    <t>Cantidad Requerida</t>
  </si>
  <si>
    <t>Materiales</t>
  </si>
  <si>
    <t>Refrigerios</t>
  </si>
  <si>
    <t>Chalecos</t>
  </si>
  <si>
    <t>TOTAL OTROS COSTOS</t>
  </si>
  <si>
    <t>OTROS COSTOS</t>
  </si>
  <si>
    <t>POLIZAS</t>
  </si>
  <si>
    <t>IVA</t>
  </si>
  <si>
    <t>GMF
 (4/1000)</t>
  </si>
  <si>
    <t>TOTAL COSTO REGIONALIZADO</t>
  </si>
  <si>
    <t>PARAFISCALES</t>
  </si>
  <si>
    <t>Código 
Dpto</t>
  </si>
  <si>
    <t xml:space="preserve">Código Municipio </t>
  </si>
  <si>
    <t>Departamento
/ zona</t>
  </si>
  <si>
    <t>Cantidad Mpios</t>
  </si>
  <si>
    <t>Cobertura 
2013</t>
  </si>
  <si>
    <t xml:space="preserve">Coordinador de Garantia de Derechos </t>
  </si>
  <si>
    <t>Coordinador Metodológico</t>
  </si>
  <si>
    <t>Asesor</t>
  </si>
  <si>
    <t xml:space="preserve">Profesional </t>
  </si>
  <si>
    <t>Técnico</t>
  </si>
  <si>
    <t xml:space="preserve">Asistencial </t>
  </si>
  <si>
    <t>Profesional  8</t>
  </si>
  <si>
    <t>Profesional  2</t>
  </si>
  <si>
    <t>Profesional  1</t>
  </si>
  <si>
    <t>Técnico 1</t>
  </si>
  <si>
    <t>Jericó (BOY)</t>
  </si>
  <si>
    <t>SUBTOTAL GCB</t>
  </si>
  <si>
    <t>Cobertura 
Base</t>
  </si>
  <si>
    <t>Porcentaje</t>
  </si>
  <si>
    <t xml:space="preserve">Administración  </t>
  </si>
  <si>
    <t>Costo Transporte mes por Promotor</t>
  </si>
  <si>
    <t>IMPUESTOS</t>
  </si>
  <si>
    <t xml:space="preserve">TOTAL IMPUESTOS </t>
  </si>
  <si>
    <t>GRAVAMEN MOVIMIENTO FINANCIERO</t>
  </si>
  <si>
    <t>VALOR PROMEDIO POR NNA MES</t>
  </si>
  <si>
    <t>TRANSPORTE DE SUPERVISIÓN DEL OPERADOR</t>
  </si>
  <si>
    <t>REFRIGERIO MAKRO</t>
  </si>
  <si>
    <t>BEBIDA</t>
  </si>
  <si>
    <t>Producto</t>
  </si>
  <si>
    <t>Marca</t>
  </si>
  <si>
    <t>Empaque</t>
  </si>
  <si>
    <t>c.c/gr</t>
  </si>
  <si>
    <t>Cantidad</t>
  </si>
  <si>
    <t>Valor</t>
  </si>
  <si>
    <t>Valor Unitario</t>
  </si>
  <si>
    <t>Jugo deNaranja</t>
  </si>
  <si>
    <t>colanta</t>
  </si>
  <si>
    <t>flexible</t>
  </si>
  <si>
    <t>Nectar surtido</t>
  </si>
  <si>
    <t xml:space="preserve">CALIFORNIA </t>
  </si>
  <si>
    <t>Tetrapack</t>
  </si>
  <si>
    <t>Refresco</t>
  </si>
  <si>
    <t>ACOMPAÑANTE</t>
  </si>
  <si>
    <t>gr</t>
  </si>
  <si>
    <t xml:space="preserve">Galletas </t>
  </si>
  <si>
    <t>Festival</t>
  </si>
  <si>
    <t>Noel</t>
  </si>
  <si>
    <t>semillas</t>
  </si>
  <si>
    <t>alpina</t>
  </si>
  <si>
    <t>Del Valle</t>
  </si>
  <si>
    <t>jumex</t>
  </si>
  <si>
    <t>Canoa</t>
  </si>
  <si>
    <t>Chupy fruit</t>
  </si>
  <si>
    <t>Yogur</t>
  </si>
  <si>
    <t>Vaso</t>
  </si>
  <si>
    <t>Gelatina</t>
  </si>
  <si>
    <t>Leche</t>
  </si>
  <si>
    <t>Kumis</t>
  </si>
  <si>
    <t>Sarsal</t>
  </si>
  <si>
    <t>Muu</t>
  </si>
  <si>
    <t>Colombina</t>
  </si>
  <si>
    <t xml:space="preserve">de leche </t>
  </si>
  <si>
    <t>Saltin</t>
  </si>
  <si>
    <t xml:space="preserve">Festival </t>
  </si>
  <si>
    <t>TOSH</t>
  </si>
  <si>
    <t xml:space="preserve">REFRIGERIO ÉXITO </t>
  </si>
  <si>
    <t>COTIZACION 1</t>
  </si>
  <si>
    <t>COTIZACION 2</t>
  </si>
  <si>
    <t>PROMEDIO</t>
  </si>
  <si>
    <t xml:space="preserve">Valor Refrigerio </t>
  </si>
  <si>
    <t>CONSOLIDADO BEBIDAS</t>
  </si>
  <si>
    <t>FORMATO SOLICITUD DE COTIZACION  -  KIT ESCOLAR</t>
  </si>
  <si>
    <t xml:space="preserve">EMPRESA :TIENDA ESCOLAR </t>
  </si>
  <si>
    <t>CONTACTO:</t>
  </si>
  <si>
    <t>TEL:</t>
  </si>
  <si>
    <t>CARGO:</t>
  </si>
  <si>
    <t>E-MAIL:</t>
  </si>
  <si>
    <t>CEL:</t>
  </si>
  <si>
    <t xml:space="preserve">ITEM </t>
  </si>
  <si>
    <t>UNIDADES</t>
  </si>
  <si>
    <t>VALOR UNITARIO SIN IVA</t>
  </si>
  <si>
    <t>IVA UNITARIO</t>
  </si>
  <si>
    <t>TOTALUNITARIO</t>
  </si>
  <si>
    <t>TOTAL SIN IVA</t>
  </si>
  <si>
    <t>IVA TOTAL</t>
  </si>
  <si>
    <t>VALOR TOTAL</t>
  </si>
  <si>
    <t>VINILO</t>
  </si>
  <si>
    <t>TEMPERAS</t>
  </si>
  <si>
    <t>CUADERNO DE 100 HOJAS</t>
  </si>
  <si>
    <t>PINCEL No. 6</t>
  </si>
  <si>
    <t xml:space="preserve">CARTULINA COLORES TAMAÑO 1/8 </t>
  </si>
  <si>
    <t xml:space="preserve">CARTULINA  BLANCA  1/8 </t>
  </si>
  <si>
    <t>LAPIZ DE MADERA 2h</t>
  </si>
  <si>
    <t xml:space="preserve">BORRADOR DE NATA </t>
  </si>
  <si>
    <t>TAJALAPIZ  PLASTICO</t>
  </si>
  <si>
    <t>COLORES</t>
  </si>
  <si>
    <t xml:space="preserve">BLOCK PAPEL  EDAD MEDIA </t>
  </si>
  <si>
    <t>BLOCK PAPEL ROMANO  IRIS</t>
  </si>
  <si>
    <t>TIJERAS</t>
  </si>
  <si>
    <t>CRAYONES</t>
  </si>
  <si>
    <t xml:space="preserve">PLASTILINA </t>
  </si>
  <si>
    <t>PLIEGO DE PAPEL  KRAF-SEDA-PERIODICO</t>
  </si>
  <si>
    <t xml:space="preserve">COLBON X 200 gramos </t>
  </si>
  <si>
    <t>PLIEGO  CARTULINA</t>
  </si>
  <si>
    <t>ROMPECABEZAS</t>
  </si>
  <si>
    <t xml:space="preserve">REGLA PLASTICA </t>
  </si>
  <si>
    <t>CARTUCHERA</t>
  </si>
  <si>
    <t xml:space="preserve">EMPRESA : EL FARO </t>
  </si>
  <si>
    <t xml:space="preserve">CONTACTO: MILENA QUINTERO </t>
  </si>
  <si>
    <t>TEL:3759300</t>
  </si>
  <si>
    <t xml:space="preserve">CARGO: coordinadora canal institucional </t>
  </si>
  <si>
    <t>TOTAL UNITARIO</t>
  </si>
  <si>
    <t>VINILO FRASCO X 80cc.</t>
  </si>
  <si>
    <t>CUADERNO DE 100 HOJAS GRAPADO</t>
  </si>
  <si>
    <t>CARTULINA COLORES TAMAÑO 1/8 PAQUETE X 10 UNIDADES</t>
  </si>
  <si>
    <t>CARTULINA  BLANCA  1/8 PAQUETE X 10 UNIDADES</t>
  </si>
  <si>
    <t>LAPIZ DE MADERA 2h MINA NEGRA</t>
  </si>
  <si>
    <t>BORRADOR DE NATA  MEDIANA</t>
  </si>
  <si>
    <t>COLORES CAJA X 6 UNIDADES CORTOS</t>
  </si>
  <si>
    <t>BLOCK PAPEL   EDAD MEDIA X 25 HOJAS</t>
  </si>
  <si>
    <t>BLOCK PAPEL ROMANO  IRIS X 35 HOJAS</t>
  </si>
  <si>
    <t>TIJERAS PUNTA ROMA</t>
  </si>
  <si>
    <t>CRAYONES CAJA X 6 UNIDADES</t>
  </si>
  <si>
    <t>PLASTILINA X 8 UNIDADES CORTA</t>
  </si>
  <si>
    <t xml:space="preserve">COLBON  X 200 GRAMOS </t>
  </si>
  <si>
    <t>PLIEGO DE CARTULINA</t>
  </si>
  <si>
    <t>REGLA PLASTICA</t>
  </si>
  <si>
    <t>EMPRESA :  ÉXITO .COM</t>
  </si>
  <si>
    <t>TOTAL . UNITARIO</t>
  </si>
  <si>
    <t xml:space="preserve">COLBON  X200 GRAMOS </t>
  </si>
  <si>
    <t>EMPRESA : PAPELERIA LOD LAGOS -BOGOTA</t>
  </si>
  <si>
    <t>CONTACTO:PABLO MUÑOZ</t>
  </si>
  <si>
    <t>TEL:3103301760</t>
  </si>
  <si>
    <t>TOTAL  UNITARIO</t>
  </si>
  <si>
    <t>FORMATO SOLICITUD DE COTIZACION  -  SERVICO DE INTERNET</t>
  </si>
  <si>
    <t xml:space="preserve">OBSERVACION </t>
  </si>
  <si>
    <t xml:space="preserve">EMPRESA </t>
  </si>
  <si>
    <t xml:space="preserve">PLAN </t>
  </si>
  <si>
    <t>No de Certificaciones</t>
  </si>
  <si>
    <t xml:space="preserve">VALOR UNITARIO  SIN IVA </t>
  </si>
  <si>
    <t>TOTAL COSTO CERT. UNITARIO</t>
  </si>
  <si>
    <t>SERVICIO DE INTERNET</t>
  </si>
  <si>
    <t>Servicio mensual por cada uno de los miembros del talento humano requerido</t>
  </si>
  <si>
    <t>TIGO</t>
  </si>
  <si>
    <t>2 GB</t>
  </si>
  <si>
    <t>3 GB</t>
  </si>
  <si>
    <t>MOVISTAR</t>
  </si>
  <si>
    <t>3GB</t>
  </si>
  <si>
    <t>CLARO</t>
  </si>
  <si>
    <t>FORMATO SOLICITUD DE COTIZACION  -  SERVICO DE CELULARES</t>
  </si>
  <si>
    <t>VALOR UNITARIO POR CERTIFICACIÓN SIN IVA (2)</t>
  </si>
  <si>
    <t xml:space="preserve">SERVICIO DE CELULAR </t>
  </si>
  <si>
    <t>Servicio mensual por cada Coordinador (General, De Garantía de Derechos y Metodológico), por un valor mensual de $51.500 mensuales por cada servicio con plan</t>
  </si>
  <si>
    <t xml:space="preserve"> 200 minutos por destino </t>
  </si>
  <si>
    <t xml:space="preserve">180 minutos multi destino </t>
  </si>
  <si>
    <t>135 minutos  a otros operadores</t>
  </si>
  <si>
    <t xml:space="preserve">FORMATO SOLICITUD DE COTIZACION  -  CHALECOS </t>
  </si>
  <si>
    <t>VALOR UNITARIO SIN IVA (2)</t>
  </si>
  <si>
    <t>CHALECOS INSTITUCIONALES</t>
  </si>
  <si>
    <t xml:space="preserve">Los chalecos a suministrar  deberán cumplir con las siguientes especificaciones:• Tela anti fluido,• Color 150341 TCX (Verde), • Tejido plano• Composición en poliéster 100%• Peso en gr/m2: 131, +/-6 • Repelencia al agua mínimo 90 • Cambio dimensional máximo 3• Solidez del color al lavado, cambio de color: mínimo 4; manchado: mínimo 3 • Pilling 7.000 ciclos (formación de motas) mínimo 4; Resistencia al rasgado: trama min 30, urdimbre mínimo 15. Características tela interna o forro: • Tejido: punto, color negro • composición en poliéster: 100% • peso en gr/m2 120 +/-7  • Resistencia al estallido mínimo 385 • Resistencia al enganche (transversal y longitudinal) mínimo 4 •• Solidez del color al lavado : cambio de color mínimo 4; manchado mínimo 3 • formación de motas () 7.000 ciclos:• Mínimo 2 Los logos de ICBF : Uno en la parte De atrás y otro al lado izquierdo 
</t>
  </si>
  <si>
    <t>1.CONFECCIONES MONTHELIER LTDA</t>
  </si>
  <si>
    <t xml:space="preserve">En dril , forrado en malla pool, cremallera en frente  plástica de diente grueso, dos bolsillos externos de parche con tapa cuadrada de cierre con velcro,  dos  bordados tamaño 10 x 10 cms  a color , 1 bordado espalda tamaño media carta a color.
Ver fotografía </t>
  </si>
  <si>
    <t xml:space="preserve">2.DISEÑOS SOFIA SARMIENTO </t>
  </si>
  <si>
    <t>3. CREACIONES TANYE</t>
  </si>
  <si>
    <r>
      <rPr>
        <b/>
        <sz val="10"/>
        <color theme="1"/>
        <rFont val="Arial Narrow"/>
        <family val="2"/>
      </rPr>
      <t>NOTA (1)</t>
    </r>
    <r>
      <rPr>
        <sz val="10"/>
        <color theme="1"/>
        <rFont val="Arial Narrow"/>
        <family val="2"/>
      </rPr>
      <t xml:space="preserve"> :Por favor diligenciar solo las celdas en</t>
    </r>
    <r>
      <rPr>
        <b/>
        <sz val="10"/>
        <color theme="1"/>
        <rFont val="Arial Narrow"/>
        <family val="2"/>
      </rPr>
      <t xml:space="preserve"> AMARILLO.</t>
    </r>
  </si>
  <si>
    <r>
      <rPr>
        <b/>
        <sz val="10"/>
        <color theme="1"/>
        <rFont val="Arial Narrow"/>
        <family val="2"/>
      </rPr>
      <t>NOTA(2)</t>
    </r>
    <r>
      <rPr>
        <sz val="10"/>
        <color theme="1"/>
        <rFont val="Arial Narrow"/>
        <family val="2"/>
      </rPr>
      <t>: El valor a cotizar debe ser un total incluyendo todos los aspectos que se requieren en el documento "Ficha Tecnica" anexo.</t>
    </r>
  </si>
  <si>
    <t xml:space="preserve">Precio mas alto </t>
  </si>
  <si>
    <t xml:space="preserve">Precio mas bajo </t>
  </si>
  <si>
    <t xml:space="preserve">Promedio </t>
  </si>
  <si>
    <t>Media geometrica</t>
  </si>
  <si>
    <t>Internet 2G</t>
  </si>
  <si>
    <t>Internet 3G</t>
  </si>
  <si>
    <t xml:space="preserve">Chaleco en tela anti fluido </t>
  </si>
  <si>
    <t xml:space="preserve">Chaleco forrado en malla pool </t>
  </si>
  <si>
    <t>Los indices desde el 2015 se pueden modificar de acuerdo con lo criterios elegidos para tal fin (casillas en amarillo)</t>
  </si>
  <si>
    <t>AÑO</t>
  </si>
  <si>
    <t>IPC</t>
  </si>
  <si>
    <t>FACTOR</t>
  </si>
  <si>
    <t>IPA</t>
  </si>
  <si>
    <t>IPT</t>
  </si>
  <si>
    <t>Ind. a utilizar</t>
  </si>
  <si>
    <t>Parametros para el 2014</t>
  </si>
  <si>
    <t>Meta Inflacionaria</t>
  </si>
  <si>
    <t>Promedio últimos años</t>
  </si>
  <si>
    <t>5 años</t>
  </si>
  <si>
    <t>2 años</t>
  </si>
  <si>
    <t>Media geométrica últimos años</t>
  </si>
  <si>
    <t>3 años</t>
  </si>
  <si>
    <t xml:space="preserve"> IPC</t>
  </si>
  <si>
    <t>ICTC</t>
  </si>
  <si>
    <t>Fuente: DANE</t>
  </si>
  <si>
    <t>MES</t>
  </si>
  <si>
    <t>Enero</t>
  </si>
  <si>
    <t>Febrero</t>
  </si>
  <si>
    <t>Marzo</t>
  </si>
  <si>
    <t>Abril</t>
  </si>
  <si>
    <t>Mayo</t>
  </si>
  <si>
    <t>Junio</t>
  </si>
  <si>
    <t>Julio</t>
  </si>
  <si>
    <t>Agosto</t>
  </si>
  <si>
    <t>Septiembre</t>
  </si>
  <si>
    <t>Octubre</t>
  </si>
  <si>
    <t>Noviembre</t>
  </si>
  <si>
    <t>Diciembre</t>
  </si>
  <si>
    <t>IPC Anual</t>
  </si>
  <si>
    <t>Colombia, Indice de Costos del Transporte de Carga (ICTC)</t>
  </si>
  <si>
    <t>(variaciones porcentuales)</t>
  </si>
  <si>
    <t>2009 - 2012</t>
  </si>
  <si>
    <t>Trimestre</t>
  </si>
  <si>
    <t>Base Diciembre de 2008 = 100,00</t>
  </si>
  <si>
    <t>Primer trimestre</t>
  </si>
  <si>
    <t>Segundo trimestre</t>
  </si>
  <si>
    <t>Tercer trimestre</t>
  </si>
  <si>
    <t>Cuarto trimestre</t>
  </si>
  <si>
    <t>En año corrido</t>
  </si>
  <si>
    <t>Publicación: Octubre 19 de 2012</t>
  </si>
  <si>
    <t>NOTA: La diferencia en la suma de las variables, obedece al sistema de aproximación en el nivel de dígitos en el índice.</t>
  </si>
  <si>
    <t>Colombia, variación mensual del Indice de Precios al Consumidor</t>
  </si>
  <si>
    <t>(IPC) por grupos de bienes y servicios</t>
  </si>
  <si>
    <t>2011 - 2012</t>
  </si>
  <si>
    <t>Variaciones mensuales 2011</t>
  </si>
  <si>
    <t>Mes</t>
  </si>
  <si>
    <t>Año corrido</t>
  </si>
  <si>
    <t>Total IPC</t>
  </si>
  <si>
    <t>Alimentos</t>
  </si>
  <si>
    <t>Vivienda</t>
  </si>
  <si>
    <t>Vestuario</t>
  </si>
  <si>
    <t>Salud</t>
  </si>
  <si>
    <t>Educación</t>
  </si>
  <si>
    <t>Esparcimiento</t>
  </si>
  <si>
    <t>Transporte</t>
  </si>
  <si>
    <t>Comunicaciones</t>
  </si>
  <si>
    <t>Otros gastos</t>
  </si>
  <si>
    <t>Variaciones mensuales 2012</t>
  </si>
  <si>
    <t>Colombia, Indice de Precios al Consumidor (IPC)</t>
  </si>
  <si>
    <t>1997 - 2012</t>
  </si>
  <si>
    <t>AÑO 2012, MES 12</t>
  </si>
  <si>
    <t>* Entre octubre de 2006 y septiembre de 2007 se realizó la Encuesta de Ingresos y Gastos en el macro de la Gran Encuesta Integrada de Hogares, teniendo una cobertura de 42733 hogares para las 24 principales ciudades del país, lo cual permitió determinar cambios en los hábitos de consumo y la estructura del gasto de la población colombiana. Con los resultados de esta encuesta, bajo el trabajo de un grupo interdisciplinario de especialistas y la asesoría de la entidad estadística del Canadá, se desarrollo una nueva metodología para calcular el IPC, que es aplicada a partir de enero de 2009. Se creó una nueva canasta con una estructura de dos niveles, uno fijo y uno flexible, que permite actualizar la  canasta de bienes y servicios, por cambios en el consumo final en un periodo relativamente. Además de la ampliación de la canasta, el nuevo IPC-08 amplió su cobertura geográfica a 24 ciudades.</t>
  </si>
  <si>
    <t>Parametros Clave</t>
  </si>
  <si>
    <t>ESTUDIO DE COSTOS DEL PROGRAMA GENERACIONES CON BIENESTAR</t>
  </si>
  <si>
    <t xml:space="preserve">Cotización de Refrigerios </t>
  </si>
  <si>
    <t>Cotización  Internet y Celular</t>
  </si>
  <si>
    <t>Cotización Chalecos</t>
  </si>
  <si>
    <t>Promotores de derecho por Coordinador Metodológico</t>
  </si>
  <si>
    <t xml:space="preserve">VISITAS DE SUPERVISIÓN POR DÍA </t>
  </si>
  <si>
    <t>CANTIDAD DE VISITAS</t>
  </si>
  <si>
    <t xml:space="preserve">PRECIOS INSUMOS DE COSTOS </t>
  </si>
  <si>
    <t xml:space="preserve">1. PARAMETROS DEL PROGRAMA </t>
  </si>
  <si>
    <t>SELECCIONE EL AÑO PARA PROYECTAR PRECIOS</t>
  </si>
  <si>
    <t>IPC ------&gt;</t>
  </si>
  <si>
    <t>IPA ------&gt;</t>
  </si>
  <si>
    <t>IPT------&gt;</t>
  </si>
  <si>
    <t xml:space="preserve">ADMINISTRACIÓN Y EXCENDETE SOCIAL </t>
  </si>
  <si>
    <t>COSTO CUPO MES NNA</t>
  </si>
  <si>
    <t>SMMLV--&gt;</t>
  </si>
  <si>
    <t>MEDELLÍN</t>
  </si>
  <si>
    <t>AMAGÁ</t>
  </si>
  <si>
    <t>AMALFI</t>
  </si>
  <si>
    <t>ANDES</t>
  </si>
  <si>
    <t>ANORÍ</t>
  </si>
  <si>
    <t>APARTADÓ</t>
  </si>
  <si>
    <t>ARBOLETES </t>
  </si>
  <si>
    <t>BARBOSA</t>
  </si>
  <si>
    <t>BELLO</t>
  </si>
  <si>
    <t>BETULIA</t>
  </si>
  <si>
    <t>BRICEÑO</t>
  </si>
  <si>
    <t>BURITICÁ</t>
  </si>
  <si>
    <t>CÁCERES</t>
  </si>
  <si>
    <t>CAICEDO</t>
  </si>
  <si>
    <t>CALDAS (ANT)</t>
  </si>
  <si>
    <t>CAÑASGORDAS</t>
  </si>
  <si>
    <t>CAREPA</t>
  </si>
  <si>
    <t>CAROLINA</t>
  </si>
  <si>
    <t>CAUCASIA</t>
  </si>
  <si>
    <t>CHIGORODÓ</t>
  </si>
  <si>
    <t>CISNEROS</t>
  </si>
  <si>
    <t>CIUDAD BOLÍVAR</t>
  </si>
  <si>
    <t>CONCORDIA</t>
  </si>
  <si>
    <t>COPACABANA</t>
  </si>
  <si>
    <t>DABEIBA</t>
  </si>
  <si>
    <t>EL BAGRE</t>
  </si>
  <si>
    <t>ENTRERRIOS</t>
  </si>
  <si>
    <t>ENVIGADO</t>
  </si>
  <si>
    <t>FREDONIA</t>
  </si>
  <si>
    <t>FRONTINO</t>
  </si>
  <si>
    <t>GIRALDO</t>
  </si>
  <si>
    <t>GIRARDOTA</t>
  </si>
  <si>
    <t>ITAGUI</t>
  </si>
  <si>
    <t>ITUANGO</t>
  </si>
  <si>
    <t>JARDÍN</t>
  </si>
  <si>
    <t>LA ESTRELLA</t>
  </si>
  <si>
    <t>MACEO</t>
  </si>
  <si>
    <t>MURINDÓ</t>
  </si>
  <si>
    <t>MUTATÁ</t>
  </si>
  <si>
    <t>NECHÍ</t>
  </si>
  <si>
    <t>NECOCLÍ</t>
  </si>
  <si>
    <t>OLAYA</t>
  </si>
  <si>
    <t>PEQUE</t>
  </si>
  <si>
    <t>PUERTO BERRÍO</t>
  </si>
  <si>
    <t>PUERTO TRIUNFO</t>
  </si>
  <si>
    <t>REMEDIOS</t>
  </si>
  <si>
    <t>SABANETA</t>
  </si>
  <si>
    <t>SALGAR</t>
  </si>
  <si>
    <t>SAN JUAN DE URABÁ</t>
  </si>
  <si>
    <t>SAN PEDRO DE URABA</t>
  </si>
  <si>
    <t>SAN ROQUE</t>
  </si>
  <si>
    <t>SANTAFÉ DE ANTIOQUIA</t>
  </si>
  <si>
    <t>SANTA ROSA DE OSOS</t>
  </si>
  <si>
    <t>SANTO DOMINGO</t>
  </si>
  <si>
    <t>SEGOVIA</t>
  </si>
  <si>
    <t>TÁMESIS</t>
  </si>
  <si>
    <t>TARAZÁ</t>
  </si>
  <si>
    <t>TURBO</t>
  </si>
  <si>
    <t>URRAO</t>
  </si>
  <si>
    <t>VALDIVIA</t>
  </si>
  <si>
    <t>VENECIA</t>
  </si>
  <si>
    <t>VIGÍA DEL FUERTE</t>
  </si>
  <si>
    <t>YALÍ</t>
  </si>
  <si>
    <t>YARUMAL</t>
  </si>
  <si>
    <t>YONDÓ</t>
  </si>
  <si>
    <t>ZARAGOZA</t>
  </si>
  <si>
    <t>ABEJORRAL</t>
  </si>
  <si>
    <t>ALEJANDRÍA</t>
  </si>
  <si>
    <t>ARGELIA</t>
  </si>
  <si>
    <t>COCORNÁ </t>
  </si>
  <si>
    <t>EL CARMEN DE VIBORAL</t>
  </si>
  <si>
    <t>EL SANTUARIO</t>
  </si>
  <si>
    <t>GRANADA</t>
  </si>
  <si>
    <t>GUARNE</t>
  </si>
  <si>
    <t>LA CEJA</t>
  </si>
  <si>
    <t>LA UNIÓN</t>
  </si>
  <si>
    <t>MARINILLA</t>
  </si>
  <si>
    <t>RETIRO</t>
  </si>
  <si>
    <t>RIONEGRO</t>
  </si>
  <si>
    <t>SAN CARLOS</t>
  </si>
  <si>
    <t>SAN LUIS</t>
  </si>
  <si>
    <t>SAN RAFAEL</t>
  </si>
  <si>
    <t>SAN VICENTE</t>
  </si>
  <si>
    <t>SONSON</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</si>
  <si>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</si>
  <si>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</si>
  <si>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</si>
  <si>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</si>
  <si>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</si>
  <si>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</si>
  <si>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</si>
  <si>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</si>
  <si>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</si>
  <si>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</si>
  <si>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</si>
  <si>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</si>
  <si>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</si>
  <si>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</si>
  <si>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</si>
  <si>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</si>
  <si>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</si>
  <si>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SABANALARGA (ATL)</t>
  </si>
  <si>
    <t>SANTA LUCÍA</t>
  </si>
  <si>
    <t>SANTO TOMÁS</t>
  </si>
  <si>
    <t>SOLEDAD</t>
  </si>
  <si>
    <t>SUAN</t>
  </si>
  <si>
    <t>TUBARÁ</t>
  </si>
  <si>
    <t>USIACURÍ</t>
  </si>
  <si>
    <t>CARTAGENA</t>
  </si>
  <si>
    <t xml:space="preserve">ACHÍ  </t>
  </si>
  <si>
    <t>ALTOS DEL ROSARIO</t>
  </si>
  <si>
    <t>ARJONA</t>
  </si>
  <si>
    <t>ARROYOHONDO</t>
  </si>
  <si>
    <t>BARRANCO DE LOBA </t>
  </si>
  <si>
    <t>CALAMAR</t>
  </si>
  <si>
    <t>CANTAGALLO</t>
  </si>
  <si>
    <t>CLEMENCIA</t>
  </si>
  <si>
    <t>EL CARMEN DE BOLÍVAR</t>
  </si>
  <si>
    <t>HATILLO DE LOBA</t>
  </si>
  <si>
    <t>MAGANGUÉ</t>
  </si>
  <si>
    <t>MAHATES</t>
  </si>
  <si>
    <t>MARÍA LA BAJA</t>
  </si>
  <si>
    <t>MOMPÓS</t>
  </si>
  <si>
    <t>MONTECRISTO</t>
  </si>
  <si>
    <t>MORALES (BOL)</t>
  </si>
  <si>
    <t>SAN CRISTÓBAL</t>
  </si>
  <si>
    <t>SAN JACINTO</t>
  </si>
  <si>
    <t>SAN JACINTO DEL CAUCA</t>
  </si>
  <si>
    <t>SAN JUAN NEPOMUCENO</t>
  </si>
  <si>
    <t>SAN PABLO</t>
  </si>
  <si>
    <t>SANTA CATALINA </t>
  </si>
  <si>
    <t>SANTA ROSA</t>
  </si>
  <si>
    <t>SANTA ROSA DEL SUR</t>
  </si>
  <si>
    <t>SIMITÍ</t>
  </si>
  <si>
    <t>SOPLAVIENTO</t>
  </si>
  <si>
    <t>TALAIGUA NUEVO</t>
  </si>
  <si>
    <t>TIQUISIO</t>
  </si>
  <si>
    <t>TURBACO</t>
  </si>
  <si>
    <t>VILLANUEVA (BOL)</t>
  </si>
  <si>
    <t>TUNJA</t>
  </si>
  <si>
    <t>AQUITANIA</t>
  </si>
  <si>
    <t>BETÉITIVA</t>
  </si>
  <si>
    <t>BOAVITA</t>
  </si>
  <si>
    <t>CAMPOHERMOSO</t>
  </si>
  <si>
    <t>CHIQUINQUIRÁ</t>
  </si>
  <si>
    <t>CHIVOR</t>
  </si>
  <si>
    <t>CÓMBITA</t>
  </si>
  <si>
    <t>CORRALES</t>
  </si>
  <si>
    <t>COVARACHÍA</t>
  </si>
  <si>
    <t>CUCAITA</t>
  </si>
  <si>
    <t>CUÍTIVA</t>
  </si>
  <si>
    <t>DUITAMA</t>
  </si>
  <si>
    <t>EL COCUY</t>
  </si>
  <si>
    <t>EL ESPINO</t>
  </si>
  <si>
    <t>FIRAVITOBA</t>
  </si>
  <si>
    <t>FLORESTA</t>
  </si>
  <si>
    <t>GACHANTIVÁ</t>
  </si>
  <si>
    <t>GAMEZA</t>
  </si>
  <si>
    <t>GARAGOA</t>
  </si>
  <si>
    <t>GUATEQUE</t>
  </si>
  <si>
    <t>GÜICÁN</t>
  </si>
  <si>
    <t>JERICÓ (BOY)</t>
  </si>
  <si>
    <t>MACANAL</t>
  </si>
  <si>
    <t>MARIPÍ</t>
  </si>
  <si>
    <t>MIRAFLORES</t>
  </si>
  <si>
    <t>MONGUÍ</t>
  </si>
  <si>
    <t>MONIQUIRÁ</t>
  </si>
  <si>
    <t>MUZO</t>
  </si>
  <si>
    <t>OICATÁ</t>
  </si>
  <si>
    <t>OTANCHE</t>
  </si>
  <si>
    <t>PAIPA</t>
  </si>
  <si>
    <t>PAUNA</t>
  </si>
  <si>
    <t>PAZ DE RÍO</t>
  </si>
  <si>
    <t>PESCA</t>
  </si>
  <si>
    <t>PUERTO BOYACÁ</t>
  </si>
  <si>
    <t>RAMIRIQUÍ</t>
  </si>
  <si>
    <t>SAMACÁ</t>
  </si>
  <si>
    <t>SAN PABLO DE BORBUR</t>
  </si>
  <si>
    <t>SANTA ROSA DE VITERBO</t>
  </si>
  <si>
    <t>SANTANA</t>
  </si>
  <si>
    <t>SATIVANORTE</t>
  </si>
  <si>
    <t>SOATÁ</t>
  </si>
  <si>
    <t>SOCOTÁ</t>
  </si>
  <si>
    <t>SOGAMOSO</t>
  </si>
  <si>
    <t>TIPACOQUE</t>
  </si>
  <si>
    <t>TOCA</t>
  </si>
  <si>
    <t>TÓPAGA</t>
  </si>
  <si>
    <t>TURMEQUÉ</t>
  </si>
  <si>
    <t>TUTA</t>
  </si>
  <si>
    <t>TUTAZÁ</t>
  </si>
  <si>
    <t>VENTAQUEMADA</t>
  </si>
  <si>
    <t>VILLA DE LEYVA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</si>
  <si>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</si>
  <si>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</si>
  <si>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</si>
  <si>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</si>
  <si>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</si>
  <si>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</si>
  <si>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</si>
  <si>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</si>
  <si>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</si>
  <si>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</si>
  <si>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</si>
  <si>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</si>
  <si>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</si>
  <si>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</si>
  <si>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</si>
  <si>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</si>
  <si>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</si>
  <si>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</si>
  <si>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</si>
  <si>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 (CAL)</t>
  </si>
  <si>
    <t>SALAMINA</t>
  </si>
  <si>
    <t>SAMANÁ </t>
  </si>
  <si>
    <t>SAN JOSÉ</t>
  </si>
  <si>
    <t>SUPÍA</t>
  </si>
  <si>
    <t>VICTORIA</t>
  </si>
  <si>
    <t>VILLAMARÍA</t>
  </si>
  <si>
    <t>VITERBO</t>
  </si>
  <si>
    <t>FLORENCIA</t>
  </si>
  <si>
    <t>BELÉN DE LOS ANDAQUIES</t>
  </si>
  <si>
    <t>CARTAGENA DEL CHAIRÁ</t>
  </si>
  <si>
    <t>EL DONCELLO</t>
  </si>
  <si>
    <t>EL PAUJIL</t>
  </si>
  <si>
    <t>LA MONTAÑITA</t>
  </si>
  <si>
    <t>MILÁN</t>
  </si>
  <si>
    <t>PUERTO RICO</t>
  </si>
  <si>
    <t>SAN JOSÉ DEL FRAGUA</t>
  </si>
  <si>
    <t>SAN VICENTE DEL CAGUÁN</t>
  </si>
  <si>
    <t>SOLANO</t>
  </si>
  <si>
    <t>SOLITA</t>
  </si>
  <si>
    <t>VALPARAÍSO (CAQ)</t>
  </si>
  <si>
    <t>POPAYÁN</t>
  </si>
  <si>
    <t>ALMAGUER</t>
  </si>
  <si>
    <t>ARGELIA (CAU)</t>
  </si>
  <si>
    <t>BALBOA</t>
  </si>
  <si>
    <t>BOLÍVAR (CAU)</t>
  </si>
  <si>
    <t xml:space="preserve">BUENOS AIRES  </t>
  </si>
  <si>
    <t>CAJIBÍO</t>
  </si>
  <si>
    <t>CALDONO</t>
  </si>
  <si>
    <t xml:space="preserve">CALOTO </t>
  </si>
  <si>
    <t>CORINTO</t>
  </si>
  <si>
    <t>EL TAMBO</t>
  </si>
  <si>
    <t xml:space="preserve">GUACHENÉ </t>
  </si>
  <si>
    <t>GUAPI</t>
  </si>
  <si>
    <t>INZÁ</t>
  </si>
  <si>
    <t>LA VEGA</t>
  </si>
  <si>
    <t>LÓPEZ</t>
  </si>
  <si>
    <t>MERCADERES </t>
  </si>
  <si>
    <t>MIRANDA</t>
  </si>
  <si>
    <t>MORALES</t>
  </si>
  <si>
    <t>PAEZ</t>
  </si>
  <si>
    <t>PATÍA</t>
  </si>
  <si>
    <t>PIAMONTE</t>
  </si>
  <si>
    <t>PIENDAMÓ</t>
  </si>
  <si>
    <t>PUERTO TEJADA</t>
  </si>
  <si>
    <t>SANTANDER DE QUILICHAO </t>
  </si>
  <si>
    <t>SILVIA</t>
  </si>
  <si>
    <t>SOTARA</t>
  </si>
  <si>
    <t>SUÁREZ</t>
  </si>
  <si>
    <t>TIMBÍO</t>
  </si>
  <si>
    <t>TIMBIQUÍ</t>
  </si>
  <si>
    <t>TORIBIO</t>
  </si>
  <si>
    <t>TOTORÓ</t>
  </si>
  <si>
    <t>VILLA RICA</t>
  </si>
  <si>
    <t>VALLEDUPAR</t>
  </si>
  <si>
    <t>AGUACHICA</t>
  </si>
  <si>
    <t>AGUSTÍN CODAZZI</t>
  </si>
  <si>
    <t>ASTREA</t>
  </si>
  <si>
    <t>BECERRIL</t>
  </si>
  <si>
    <t>BOSCONIA</t>
  </si>
  <si>
    <t>CHIMICHAGUA</t>
  </si>
  <si>
    <t>CHIRIGUANÁ</t>
  </si>
  <si>
    <t>CURUMANÍ</t>
  </si>
  <si>
    <t>EL COPEY</t>
  </si>
  <si>
    <t>EL PASO</t>
  </si>
  <si>
    <t>GAMARRA</t>
  </si>
  <si>
    <t>LA JAGUA DE IBIRICO</t>
  </si>
  <si>
    <t>LA PAZ</t>
  </si>
  <si>
    <t>MANAURE</t>
  </si>
  <si>
    <t>PAILITAS</t>
  </si>
  <si>
    <t>PELAYA</t>
  </si>
  <si>
    <t>PUEBLO BELLO</t>
  </si>
  <si>
    <t>RÍO DE ORO</t>
  </si>
  <si>
    <t>SAN ALBERTO</t>
  </si>
  <si>
    <t>SAN DIEGO</t>
  </si>
  <si>
    <t>SAN MARTÍN</t>
  </si>
  <si>
    <t>TAMALAMEQUE</t>
  </si>
  <si>
    <t>CÓRDOBA</t>
  </si>
  <si>
    <t>MONTERÍA</t>
  </si>
  <si>
    <t>AYAPEL </t>
  </si>
  <si>
    <t>BUENAVISTA (COR)</t>
  </si>
  <si>
    <t>CANALETE</t>
  </si>
  <si>
    <t>CERETÉ</t>
  </si>
  <si>
    <t>CHIMÁ</t>
  </si>
  <si>
    <t>CHINÚ</t>
  </si>
  <si>
    <t>CIÉNAGA DE ORO</t>
  </si>
  <si>
    <t>COTORRA</t>
  </si>
  <si>
    <t>LA APARTADA</t>
  </si>
  <si>
    <t xml:space="preserve">LORICA  </t>
  </si>
  <si>
    <t>LOS CÓRDOBAS</t>
  </si>
  <si>
    <t>MOMIL</t>
  </si>
  <si>
    <t>MONTELÍBANO</t>
  </si>
  <si>
    <t>MOÑITOS</t>
  </si>
  <si>
    <t>PLANETA RICA</t>
  </si>
  <si>
    <t>PUEBLO NUEVO</t>
  </si>
  <si>
    <t>PUERTO ESCONDIDO</t>
  </si>
  <si>
    <t>PUERTO LIBERTADOR</t>
  </si>
  <si>
    <t>PURÍSIMA</t>
  </si>
  <si>
    <t>SAHAGÚN</t>
  </si>
  <si>
    <t>SAN ANTERO</t>
  </si>
  <si>
    <t>SAN BERNARDO DEL VIENTO</t>
  </si>
  <si>
    <t>SAN CARLOS (COR)</t>
  </si>
  <si>
    <t xml:space="preserve">SAN JOSÉ DE URÉ </t>
  </si>
  <si>
    <t>SAN PELAYO </t>
  </si>
  <si>
    <t>TIERRALTA</t>
  </si>
  <si>
    <t>TUCHÍN</t>
  </si>
  <si>
    <t>VALENCIA</t>
  </si>
  <si>
    <t>AGUA DE DIOS</t>
  </si>
  <si>
    <t>APULO</t>
  </si>
  <si>
    <t>CABRERA</t>
  </si>
  <si>
    <t>CAJICÁ</t>
  </si>
  <si>
    <t>CAQUEZA</t>
  </si>
  <si>
    <t>CHÍA</t>
  </si>
  <si>
    <t>CHOCONTÁ</t>
  </si>
  <si>
    <t>COGUA</t>
  </si>
  <si>
    <t>CUCUNUBÁ</t>
  </si>
  <si>
    <t>EL COLEGIO</t>
  </si>
  <si>
    <t>EL ROSAL</t>
  </si>
  <si>
    <t>FACATATIVÁ</t>
  </si>
  <si>
    <t>FUNZA</t>
  </si>
  <si>
    <t>FUSAGASUGÁ</t>
  </si>
  <si>
    <t>GAMA</t>
  </si>
  <si>
    <t>GIRARDOT</t>
  </si>
  <si>
    <t>GUADUAS</t>
  </si>
  <si>
    <t>GUATAVITA</t>
  </si>
  <si>
    <t>LA CALERA</t>
  </si>
  <si>
    <t>LA MESA</t>
  </si>
  <si>
    <t>LA PALMA</t>
  </si>
  <si>
    <t>LA VEGA (CUND)</t>
  </si>
  <si>
    <t>MADRID</t>
  </si>
  <si>
    <t>MOSQUERA</t>
  </si>
  <si>
    <t>PACHO</t>
  </si>
  <si>
    <t>PASCA</t>
  </si>
  <si>
    <t>PUERTO SALGAR</t>
  </si>
  <si>
    <t>SAN FRANCISCO (CUN)</t>
  </si>
  <si>
    <t>SAN JUAN DE RÍO SECO</t>
  </si>
  <si>
    <t>SIBATÉ</t>
  </si>
  <si>
    <t>SIMIJACA</t>
  </si>
  <si>
    <t>SOACHA </t>
  </si>
  <si>
    <t>SOPÓ</t>
  </si>
  <si>
    <t>SUTATAUSA</t>
  </si>
  <si>
    <t>TENJO</t>
  </si>
  <si>
    <t>TOCAIMA</t>
  </si>
  <si>
    <t>TOCANCIPÁ</t>
  </si>
  <si>
    <t>ÚTICA</t>
  </si>
  <si>
    <t>VENECIA (CUND)</t>
  </si>
  <si>
    <t>VILLA DE SAN DIEGO DE UBATE</t>
  </si>
  <si>
    <t>VILLETA</t>
  </si>
  <si>
    <t>VIOTÁ</t>
  </si>
  <si>
    <t>YACOPÍ</t>
  </si>
  <si>
    <t>ZIPAQUIRÁ</t>
  </si>
  <si>
    <t>CHOCÓ</t>
  </si>
  <si>
    <t>QUIBDÓ</t>
  </si>
  <si>
    <t>ACANDÍ</t>
  </si>
  <si>
    <t>ALTO BAUDO</t>
  </si>
  <si>
    <t>BAHÍA SOLANO</t>
  </si>
  <si>
    <t>BAJO BAUDÓ </t>
  </si>
  <si>
    <t>BOJAYA</t>
  </si>
  <si>
    <t xml:space="preserve">CONDOTO  </t>
  </si>
  <si>
    <t>EL LITORAL DEL SAN JUAN</t>
  </si>
  <si>
    <t>ISTMINA </t>
  </si>
  <si>
    <t>MEDIO ATRATO</t>
  </si>
  <si>
    <t>MEDIO BAUDÓ</t>
  </si>
  <si>
    <t>RIOSUCIO  (CHO)</t>
  </si>
  <si>
    <t>SIPÍ</t>
  </si>
  <si>
    <t xml:space="preserve">TADÓ  </t>
  </si>
  <si>
    <t>UNGUÍA</t>
  </si>
  <si>
    <t>NEIVA</t>
  </si>
  <si>
    <t>ACEVEDO</t>
  </si>
  <si>
    <t>AIPE</t>
  </si>
  <si>
    <t>ALGECIRAS</t>
  </si>
  <si>
    <t>CAMPOALEGRE</t>
  </si>
  <si>
    <t>GARZÓN</t>
  </si>
  <si>
    <t>GIGANTE</t>
  </si>
  <si>
    <t>GUADALUPE (HUI)</t>
  </si>
  <si>
    <t>IQUIRA</t>
  </si>
  <si>
    <t>ISNOS</t>
  </si>
  <si>
    <t>PITAL</t>
  </si>
  <si>
    <t>LA PLATA</t>
  </si>
  <si>
    <t>NÁTAGA</t>
  </si>
  <si>
    <t>PALERMO</t>
  </si>
  <si>
    <t>PALESTINA (HUI)</t>
  </si>
  <si>
    <t>PITALITO</t>
  </si>
  <si>
    <t>RIVERA</t>
  </si>
  <si>
    <t>SAN AGUSTÍN</t>
  </si>
  <si>
    <t>SUAZA</t>
  </si>
  <si>
    <t>TARQUI</t>
  </si>
  <si>
    <t>TIMANÁ</t>
  </si>
  <si>
    <t xml:space="preserve">RIOHACHA  </t>
  </si>
  <si>
    <t>ALBANIA (GUA)</t>
  </si>
  <si>
    <t xml:space="preserve">BARRANCAS  </t>
  </si>
  <si>
    <t>DIBULLA</t>
  </si>
  <si>
    <t xml:space="preserve">FONSECA  </t>
  </si>
  <si>
    <t>HATONUEVO</t>
  </si>
  <si>
    <t>MAICAO </t>
  </si>
  <si>
    <t>MANAURE (GUA)</t>
  </si>
  <si>
    <t>SAN JUAN DEL CESAR</t>
  </si>
  <si>
    <t>URIBIA</t>
  </si>
  <si>
    <t>URUMITA</t>
  </si>
  <si>
    <t>VILLANUEVA </t>
  </si>
  <si>
    <t>SANTA MARTA</t>
  </si>
  <si>
    <t>ALGARROBO</t>
  </si>
  <si>
    <t>ARACATACA </t>
  </si>
  <si>
    <t>ARIGUANÍ </t>
  </si>
  <si>
    <t>CERRO SAN ANTONIO </t>
  </si>
  <si>
    <t xml:space="preserve">CHIVOLO </t>
  </si>
  <si>
    <t>CIÉNAGA</t>
  </si>
  <si>
    <t>CONCORDIA (MAG)</t>
  </si>
  <si>
    <t>EL BANCO</t>
  </si>
  <si>
    <t>EL PIÑON </t>
  </si>
  <si>
    <t>EL RETÉN</t>
  </si>
  <si>
    <t>FUNDACIÓN </t>
  </si>
  <si>
    <t>GUAMAL</t>
  </si>
  <si>
    <t>NUEVA GRANADA</t>
  </si>
  <si>
    <t>PEDRAZA </t>
  </si>
  <si>
    <t>PIJIÑO DEL CARMEN</t>
  </si>
  <si>
    <t>PIVIJAY </t>
  </si>
  <si>
    <t>PLATO </t>
  </si>
  <si>
    <t>PUEBLOVIEJO</t>
  </si>
  <si>
    <t>REMOLINO</t>
  </si>
  <si>
    <t>SABANAS DE SAN ANGEL</t>
  </si>
  <si>
    <t>SALAMINA (MAG)</t>
  </si>
  <si>
    <t>SAN SEBASTIÁN DE BUENAVISTA</t>
  </si>
  <si>
    <t>SAN ZENÓN</t>
  </si>
  <si>
    <t>SANTA ANA </t>
  </si>
  <si>
    <t>SANTA BÁRBARA DE PINTO</t>
  </si>
  <si>
    <t>SITIONUEVO</t>
  </si>
  <si>
    <t>TENERIFE </t>
  </si>
  <si>
    <t>ZAPAYÁN</t>
  </si>
  <si>
    <t>ZONA BANANERA</t>
  </si>
  <si>
    <t>VILLAVICENCIO</t>
  </si>
  <si>
    <t>ACACÍAS</t>
  </si>
  <si>
    <t>CUMARAL </t>
  </si>
  <si>
    <t>GRANADA (MET)</t>
  </si>
  <si>
    <t>LA MACARENA</t>
  </si>
  <si>
    <t>MESETAS</t>
  </si>
  <si>
    <t>PUERTO GAITÁN</t>
  </si>
  <si>
    <t>PUERTO LLERAS</t>
  </si>
  <si>
    <t>PUERTO LÓPEZ</t>
  </si>
  <si>
    <t>PUERTO RICO (MET)</t>
  </si>
  <si>
    <t>SAN JUAN DE ARAMA</t>
  </si>
  <si>
    <t>SAN MARTÍN (MET)</t>
  </si>
  <si>
    <t>URIBE</t>
  </si>
  <si>
    <t>VISTAHERMOSA</t>
  </si>
  <si>
    <t>PASTO </t>
  </si>
  <si>
    <t>ALBÁN (NAR)</t>
  </si>
  <si>
    <t>ALDANA</t>
  </si>
  <si>
    <t>ANCUYÁ</t>
  </si>
  <si>
    <t>ARBOLEDA</t>
  </si>
  <si>
    <t>BARBACOAS</t>
  </si>
  <si>
    <t>BELÉN (NAR)</t>
  </si>
  <si>
    <t>BUESACO</t>
  </si>
  <si>
    <t>CHACHAGÜÍ</t>
  </si>
  <si>
    <t>COLÓN</t>
  </si>
  <si>
    <t>CONSACA</t>
  </si>
  <si>
    <t>CONTADERO</t>
  </si>
  <si>
    <t>CÓRDOBA (NAR)</t>
  </si>
  <si>
    <t>CUASPUD</t>
  </si>
  <si>
    <t>CUMBAL</t>
  </si>
  <si>
    <t>CUMBITARA</t>
  </si>
  <si>
    <t>EL CHARCO </t>
  </si>
  <si>
    <t>EL PEÑOL</t>
  </si>
  <si>
    <t>EL ROSARIO</t>
  </si>
  <si>
    <t>EL TABLÓN DE GÓMEZ</t>
  </si>
  <si>
    <t>EL TAMBO (NAR)</t>
  </si>
  <si>
    <t>FRANCISCO PIZARRO</t>
  </si>
  <si>
    <t>FUNES</t>
  </si>
  <si>
    <t>GUACHUCAL</t>
  </si>
  <si>
    <t>GUAITARILLA</t>
  </si>
  <si>
    <t>GUALMATÁN</t>
  </si>
  <si>
    <t>ILES</t>
  </si>
  <si>
    <t>IMUÉS</t>
  </si>
  <si>
    <t>IPIALES</t>
  </si>
  <si>
    <t>LA CRUZ</t>
  </si>
  <si>
    <t>LA FLORIDA</t>
  </si>
  <si>
    <t>LA LLANADA</t>
  </si>
  <si>
    <t>LA TOLA</t>
  </si>
  <si>
    <t>LA UNIÓN (NAR)</t>
  </si>
  <si>
    <t>LEIVA</t>
  </si>
  <si>
    <t>LINARES</t>
  </si>
  <si>
    <t>LOS ANDES </t>
  </si>
  <si>
    <t>MAGÜI</t>
  </si>
  <si>
    <t>MALLAMA</t>
  </si>
  <si>
    <t>MOSQUERA (NAR)</t>
  </si>
  <si>
    <t>NARIÑO (NAR)</t>
  </si>
  <si>
    <t>OLAYA HERRERA </t>
  </si>
  <si>
    <t>OSPINA</t>
  </si>
  <si>
    <t>POLICARPA</t>
  </si>
  <si>
    <t>POTOSÍ</t>
  </si>
  <si>
    <t>PROVIDENCIA</t>
  </si>
  <si>
    <t>PUERRES</t>
  </si>
  <si>
    <t>PUPIALES</t>
  </si>
  <si>
    <t>RICAURTE (NAR)</t>
  </si>
  <si>
    <t>ROBERTO PAYÁN</t>
  </si>
  <si>
    <t>SAMANIEGO</t>
  </si>
  <si>
    <t>SAN ANDRES DE TUMACO</t>
  </si>
  <si>
    <t>SAN BERNARDO (NAR)</t>
  </si>
  <si>
    <t>SAN LORENZO</t>
  </si>
  <si>
    <t>SAN PABLO (NAR)</t>
  </si>
  <si>
    <t>SAN PEDRO DE CARTAGO</t>
  </si>
  <si>
    <t>SANDONÁ</t>
  </si>
  <si>
    <t>SANTA BÁRBARA (NAR)</t>
  </si>
  <si>
    <t>SANTACRUZ</t>
  </si>
  <si>
    <t>SAPUYES</t>
  </si>
  <si>
    <t>TAMINANGO</t>
  </si>
  <si>
    <t>TANGUA</t>
  </si>
  <si>
    <t>TÚQUERRES</t>
  </si>
  <si>
    <t>YACUANQUER</t>
  </si>
  <si>
    <t>CÚCUTA </t>
  </si>
  <si>
    <t>ABREGO </t>
  </si>
  <si>
    <t>CACHIRÁ </t>
  </si>
  <si>
    <t>CONVENCIÓN</t>
  </si>
  <si>
    <t>EL CARMEN</t>
  </si>
  <si>
    <t>EL TARRA</t>
  </si>
  <si>
    <t>EL ZULIA</t>
  </si>
  <si>
    <t>HACARÍ</t>
  </si>
  <si>
    <t>LOS PATIOS</t>
  </si>
  <si>
    <t>LOURDES</t>
  </si>
  <si>
    <t>OCAÑA</t>
  </si>
  <si>
    <t>PAMPLONA</t>
  </si>
  <si>
    <t>PUERTO SANTANDER</t>
  </si>
  <si>
    <t>SAN CALIXTO </t>
  </si>
  <si>
    <t>SARDINATA</t>
  </si>
  <si>
    <t>TEORAMA</t>
  </si>
  <si>
    <t>TIBÚ</t>
  </si>
  <si>
    <t>VILLA DEL ROSARIO</t>
  </si>
  <si>
    <t>QUINDÍO</t>
  </si>
  <si>
    <t>ARMENIA (QUI)</t>
  </si>
  <si>
    <t>BUENAVISTA (QUI)</t>
  </si>
  <si>
    <t>CALARCA</t>
  </si>
  <si>
    <t>CIRCASIA</t>
  </si>
  <si>
    <t>FILANDIA</t>
  </si>
  <si>
    <t>GÉNOVA</t>
  </si>
  <si>
    <t>LA TEBAIDA</t>
  </si>
  <si>
    <t>MONTENEGRO</t>
  </si>
  <si>
    <t>PIJAO</t>
  </si>
  <si>
    <t>QUIMBAYA</t>
  </si>
  <si>
    <t>SALENTO</t>
  </si>
  <si>
    <t>PEREIRA</t>
  </si>
  <si>
    <t>BELÉN DE UMBRÍA</t>
  </si>
  <si>
    <t>DOSQUEBRADAS</t>
  </si>
  <si>
    <t>GUATICA</t>
  </si>
  <si>
    <t>LA VIRGINIA</t>
  </si>
  <si>
    <t>MISTRATÓ</t>
  </si>
  <si>
    <t>QUINCHÍA</t>
  </si>
  <si>
    <t>SANTA ROSA DE CABAL</t>
  </si>
  <si>
    <t>SANTUARIO</t>
  </si>
  <si>
    <t>BUCARAMANGA</t>
  </si>
  <si>
    <t>BARBOSA (SAN)</t>
  </si>
  <si>
    <t>BARICHARA</t>
  </si>
  <si>
    <t>BARRANCABERMEJA</t>
  </si>
  <si>
    <t>CHARALÁ</t>
  </si>
  <si>
    <t>CIMITARRA</t>
  </si>
  <si>
    <t>FLORIDABLANCA</t>
  </si>
  <si>
    <t>GIRÓN</t>
  </si>
  <si>
    <t>LEBRÍJA</t>
  </si>
  <si>
    <t>MÁLAGA</t>
  </si>
  <si>
    <t>OIBA</t>
  </si>
  <si>
    <t>PIEDECUESTA</t>
  </si>
  <si>
    <t>PUERTO WILCHES</t>
  </si>
  <si>
    <t>RIONEGRO (SAN)</t>
  </si>
  <si>
    <t>SABANA DE TORRES</t>
  </si>
  <si>
    <t>SAN GIL</t>
  </si>
  <si>
    <t>SAN VICENTE DE CHUCURÍ</t>
  </si>
  <si>
    <t>SOCORRO</t>
  </si>
  <si>
    <t>SURATÁ</t>
  </si>
  <si>
    <t>TONA</t>
  </si>
  <si>
    <t>VÉLEZ</t>
  </si>
  <si>
    <t>ZAPATOCA</t>
  </si>
  <si>
    <t>SINCELEJO</t>
  </si>
  <si>
    <t>BUENAVISTA (SUCRE)</t>
  </si>
  <si>
    <t>CAIMITO</t>
  </si>
  <si>
    <t>CHALÁN</t>
  </si>
  <si>
    <t>COLOSO</t>
  </si>
  <si>
    <t>COROZAL</t>
  </si>
  <si>
    <t>COVEÑAS</t>
  </si>
  <si>
    <t>EL ROBLE</t>
  </si>
  <si>
    <t>GALERAS</t>
  </si>
  <si>
    <t>GUARANDA</t>
  </si>
  <si>
    <t>LA UNIÓN (SUC)</t>
  </si>
  <si>
    <t>LOS PALMITOS</t>
  </si>
  <si>
    <t>MAJAGUAL</t>
  </si>
  <si>
    <t>MORROA</t>
  </si>
  <si>
    <t>OVEJAS</t>
  </si>
  <si>
    <t>PALMITO</t>
  </si>
  <si>
    <t>SAMPUÉS</t>
  </si>
  <si>
    <t>SAN BENITO ABAD</t>
  </si>
  <si>
    <t>SAN JUAN DE BETULIA</t>
  </si>
  <si>
    <t>SAN LUIS DE SINCÉ</t>
  </si>
  <si>
    <t>SAN MARCOS</t>
  </si>
  <si>
    <t>SAN ONOFRE</t>
  </si>
  <si>
    <t>SAN PEDRO (SUC)</t>
  </si>
  <si>
    <t>SANTIAGO DE TOLÚ</t>
  </si>
  <si>
    <t>SUCRE (M)</t>
  </si>
  <si>
    <t>TOLÚ VIEJO</t>
  </si>
  <si>
    <t>IBAGUÉ</t>
  </si>
  <si>
    <t>ALPUJARRA</t>
  </si>
  <si>
    <t>ATACO</t>
  </si>
  <si>
    <t>CAJAMARCA</t>
  </si>
  <si>
    <t>CHAPARRAL</t>
  </si>
  <si>
    <t>COYAIMA</t>
  </si>
  <si>
    <t>DOLORES</t>
  </si>
  <si>
    <t>ESPINAL</t>
  </si>
  <si>
    <t>FLANDES</t>
  </si>
  <si>
    <t>FRESNO</t>
  </si>
  <si>
    <t>GUAMO</t>
  </si>
  <si>
    <t>HONDA</t>
  </si>
  <si>
    <t>LÉRIDA</t>
  </si>
  <si>
    <t>LÍBANO</t>
  </si>
  <si>
    <t>MARIQUITA</t>
  </si>
  <si>
    <t>MELGAR</t>
  </si>
  <si>
    <t>NATAGAIMA</t>
  </si>
  <si>
    <t>ORTEGA</t>
  </si>
  <si>
    <t>PLANADAS</t>
  </si>
  <si>
    <t>PURIFICACIÓN</t>
  </si>
  <si>
    <t>RIOBLANCO</t>
  </si>
  <si>
    <t>RONCESVALLES</t>
  </si>
  <si>
    <t>ROVIRA</t>
  </si>
  <si>
    <t>SALDAÑA</t>
  </si>
  <si>
    <t>SAN ANTONIO</t>
  </si>
  <si>
    <t>CALI</t>
  </si>
  <si>
    <t>ALCALÁ</t>
  </si>
  <si>
    <t>ANDALUCÍA</t>
  </si>
  <si>
    <t>ANSERMANUEVO</t>
  </si>
  <si>
    <t>ARGELIA (VAL)</t>
  </si>
  <si>
    <t>BOLÍVAR</t>
  </si>
  <si>
    <t>BUENAVENTURA</t>
  </si>
  <si>
    <t>BUGALAGRANDE</t>
  </si>
  <si>
    <t>CAICEDONIA</t>
  </si>
  <si>
    <t>CALIMA</t>
  </si>
  <si>
    <t>CANDELARIA (VAL)</t>
  </si>
  <si>
    <t>CARTAGO</t>
  </si>
  <si>
    <t>DAGUA</t>
  </si>
  <si>
    <t>EL ÁGUILA</t>
  </si>
  <si>
    <t>EL CAIRO</t>
  </si>
  <si>
    <t>EL CERRITO</t>
  </si>
  <si>
    <t>EL DOVIO</t>
  </si>
  <si>
    <t>FLORIDA</t>
  </si>
  <si>
    <t>GINEBRA</t>
  </si>
  <si>
    <t>GUACARÍ</t>
  </si>
  <si>
    <t>GUADALAJARA DE BUGA</t>
  </si>
  <si>
    <t>JAMUNDÍ</t>
  </si>
  <si>
    <t>LA CUMBRE</t>
  </si>
  <si>
    <t>LA UNIÓN (VAL)</t>
  </si>
  <si>
    <t>LA VICTORIA (VAL)</t>
  </si>
  <si>
    <t>OBANDO</t>
  </si>
  <si>
    <t>PALMIRA</t>
  </si>
  <si>
    <t>PRADERA</t>
  </si>
  <si>
    <t>RESTREPO (VAL)</t>
  </si>
  <si>
    <t>RIOFRÍO</t>
  </si>
  <si>
    <t>ROLDANILLO</t>
  </si>
  <si>
    <t>SAN PEDRO (VAL)</t>
  </si>
  <si>
    <t>SEVILLA</t>
  </si>
  <si>
    <t>TORO</t>
  </si>
  <si>
    <t>TRUJILLO</t>
  </si>
  <si>
    <t>TULUÁ</t>
  </si>
  <si>
    <t>ULLOA</t>
  </si>
  <si>
    <t>VERSALLES</t>
  </si>
  <si>
    <t>VIJES</t>
  </si>
  <si>
    <t>YOTOCO</t>
  </si>
  <si>
    <t>YUMBO</t>
  </si>
  <si>
    <t>ZARZAL</t>
  </si>
  <si>
    <t>ARAUCA (ARA)</t>
  </si>
  <si>
    <t>ARAUQUITA</t>
  </si>
  <si>
    <t>FORTUL</t>
  </si>
  <si>
    <t>SARAVENA</t>
  </si>
  <si>
    <t>PUERTO RONDÓN</t>
  </si>
  <si>
    <t>TAME</t>
  </si>
  <si>
    <t>YOPAL</t>
  </si>
  <si>
    <t>AGUAZUL</t>
  </si>
  <si>
    <t>CHAMEZA</t>
  </si>
  <si>
    <t>MANÍ</t>
  </si>
  <si>
    <t>MONTERREY</t>
  </si>
  <si>
    <t>PAZ DE ARIPORO</t>
  </si>
  <si>
    <t>PORE</t>
  </si>
  <si>
    <t>TAURAMENA</t>
  </si>
  <si>
    <t>TRINIDAD</t>
  </si>
  <si>
    <t>VILLANUEVA (CAS)</t>
  </si>
  <si>
    <t>MOCOA</t>
  </si>
  <si>
    <t>COLÓN (PUT)</t>
  </si>
  <si>
    <t>LEGUÍZAMO</t>
  </si>
  <si>
    <t>ORITO</t>
  </si>
  <si>
    <t>PUERTO ASÍS</t>
  </si>
  <si>
    <t>PUERTO CAICEDO</t>
  </si>
  <si>
    <t>PUERTO GUZMÁN</t>
  </si>
  <si>
    <t>SAN MIGUEL (PUT)</t>
  </si>
  <si>
    <t>SIBUNDOY</t>
  </si>
  <si>
    <t>VALLE DEL GUAMUEZ</t>
  </si>
  <si>
    <t>VILLAGARZÓN</t>
  </si>
  <si>
    <t>PROVIDENCIA (SAN)</t>
  </si>
  <si>
    <t>LETICIA</t>
  </si>
  <si>
    <t>LA CHORRERA (ANM)</t>
  </si>
  <si>
    <t>EL ENCANTO (AMA)</t>
  </si>
  <si>
    <t>LA PEDRERA (ANM)</t>
  </si>
  <si>
    <t>PUERTO ALEGRÍA (ANM)</t>
  </si>
  <si>
    <t>PUERTO NARIÑO</t>
  </si>
  <si>
    <t>PUERTO SANTANDER (AMA)</t>
  </si>
  <si>
    <t>TARAPACÁ (ANM)</t>
  </si>
  <si>
    <t>INÍRIDA</t>
  </si>
  <si>
    <t>BARRANCO MINAS (ANM)</t>
  </si>
  <si>
    <t>SAN JOSÉ DEL GUAVIARE</t>
  </si>
  <si>
    <t>CALAMAR (GUA)</t>
  </si>
  <si>
    <t>EL RETORNO</t>
  </si>
  <si>
    <t>MIRAFLORES (GUA)</t>
  </si>
  <si>
    <t>MITÚ</t>
  </si>
  <si>
    <t>PUERTO CARREÑO</t>
  </si>
  <si>
    <t>CUMARIBO</t>
  </si>
  <si>
    <t>BOYACÁ</t>
  </si>
  <si>
    <t>CAQUETÁ</t>
  </si>
  <si>
    <t>SAN ANDRÉS</t>
  </si>
  <si>
    <t>GUAINÍA</t>
  </si>
  <si>
    <t>VAUPÉS</t>
  </si>
  <si>
    <t>BOGOTÁ</t>
  </si>
  <si>
    <t xml:space="preserve">Una persona de Tiempo completo por cada 8 Promotores de Derecho </t>
  </si>
  <si>
    <t xml:space="preserve">TOTAL </t>
  </si>
  <si>
    <t>VALOR TOTAL TALENTO HUMANO</t>
  </si>
  <si>
    <t>VALOR TOTAL TRANSPORTE</t>
  </si>
  <si>
    <t>TALENTO HUMANO</t>
  </si>
  <si>
    <t>SUBTOTAL 1 (TALENTO HUMANO + TRANSPORTE + OTROS COSTOS)</t>
  </si>
  <si>
    <t>SUBTOTAL 2 = (SUBTOTAL 1 + ADMINISTRACIÓN Y EXCEDENTE SOCIAL)</t>
  </si>
  <si>
    <t>SUBTOTAL 3= (SUBTOTAL 2 + IMPUESTOS)</t>
  </si>
  <si>
    <t>SUBTOTAL 4 =  (SUBTOTAL 3 + POLIZAS)</t>
  </si>
  <si>
    <t>VALOR NETO = (SUBTOTAL 4 + GMF)</t>
  </si>
  <si>
    <t>TABLA DE CONTENIDO</t>
  </si>
  <si>
    <t>Salarios de Referencia</t>
  </si>
  <si>
    <t xml:space="preserve">Componentes de costos de Talento Humano </t>
  </si>
  <si>
    <t>Resumen de Costos</t>
  </si>
  <si>
    <t>RESUMEN DE COSTOS DEL PROGRAMA GENERACIONES CON BIENESTAR</t>
  </si>
  <si>
    <t xml:space="preserve">CONCEPTO DE COSTOS </t>
  </si>
  <si>
    <t xml:space="preserve">VALOR </t>
  </si>
  <si>
    <t>(…)</t>
  </si>
  <si>
    <t>Indice</t>
  </si>
  <si>
    <t>Hostórico de Indices de Precios al Consumidor (IPC), Indice de Precios de Alimentos (IPA), Indice de Costos de Transporte de Carga (ICTC), Indice de Precios de Transporte (IPT) y, Salario Mínimo Mensual Legal Vigente (SMMLV)</t>
  </si>
  <si>
    <t>Indice de precios al Consumidor  ----------------------------&gt;</t>
  </si>
  <si>
    <t>Indice de Precios de Salarios ----------------------------------&gt;</t>
  </si>
  <si>
    <t>Indice de Precios de Alimentos  -------------------------------&gt;</t>
  </si>
  <si>
    <t>Indice de Precios de Transporte  -----------------------------&gt;</t>
  </si>
  <si>
    <t>3. FUENTES: DANE</t>
  </si>
  <si>
    <t xml:space="preserve">2. PARAMETROS PARA PROYECCIÓN DE PRECIOS </t>
  </si>
  <si>
    <t>Códigos de Municipios</t>
  </si>
  <si>
    <t>ICA Actividad econÓmica 8532</t>
  </si>
  <si>
    <t>Una persona por cada 100 Niños y Adolescentes a atender</t>
  </si>
  <si>
    <t>Dias hábiles</t>
  </si>
  <si>
    <t>Encuentros vivenciales al mes</t>
  </si>
  <si>
    <t>Coordinador metodológico</t>
  </si>
  <si>
    <t>Precio de un plan de 180 min</t>
  </si>
  <si>
    <t>Costo Total  Escenario 1</t>
  </si>
  <si>
    <t>Meta Social</t>
  </si>
  <si>
    <t>% Part Costo Total</t>
  </si>
  <si>
    <t>TOTAL ADMINISTRACIÓN</t>
  </si>
  <si>
    <t xml:space="preserve">ADMINISTRACIÓN </t>
  </si>
  <si>
    <t xml:space="preserve">TOTAL ADMINISTRACIÓN </t>
  </si>
  <si>
    <t xml:space="preserve">VALOR TOTAL </t>
  </si>
  <si>
    <t>GMF</t>
  </si>
  <si>
    <t>COMP DE COSTO</t>
  </si>
  <si>
    <t>Talento humano</t>
  </si>
  <si>
    <t>Otros costos</t>
  </si>
  <si>
    <t>Administración</t>
  </si>
  <si>
    <t xml:space="preserve">Impuestos </t>
  </si>
  <si>
    <t>Polizas</t>
  </si>
  <si>
    <t>VALOR</t>
  </si>
  <si>
    <t>Componente de Costos de Mayor a Menor Representatividad en $</t>
  </si>
  <si>
    <t>TOTAL PAÍS</t>
  </si>
  <si>
    <t xml:space="preserve">Costo Cupo Mes </t>
  </si>
  <si>
    <t>Escenario 1</t>
  </si>
  <si>
    <t>PARAMETROS GENERALES</t>
  </si>
  <si>
    <t>Escenario 2</t>
  </si>
  <si>
    <t>Escenario 3</t>
  </si>
  <si>
    <t>Resumen de Costos Por Departamento</t>
  </si>
  <si>
    <t>Incluir en la ficha</t>
  </si>
  <si>
    <t xml:space="preserve">Regional </t>
  </si>
  <si>
    <t>PINILLOS</t>
  </si>
  <si>
    <t>Departamento / Municipio / Localidad</t>
  </si>
  <si>
    <t>AlejandrÍa</t>
  </si>
  <si>
    <t>Hatillo De Loba</t>
  </si>
  <si>
    <t>San jacinto del Cauca</t>
  </si>
  <si>
    <t>La Vega (CUND)</t>
  </si>
  <si>
    <t>San bernardo</t>
  </si>
  <si>
    <t>Venecia (CUND)</t>
  </si>
  <si>
    <t>Pijiño Del Carmen</t>
  </si>
  <si>
    <t>Sabanas De San Angel</t>
  </si>
  <si>
    <t>San Juan De Arama</t>
  </si>
  <si>
    <t>El peñol</t>
  </si>
  <si>
    <t>El rosario</t>
  </si>
  <si>
    <t>Francisco pizarro</t>
  </si>
  <si>
    <t>La cruz</t>
  </si>
  <si>
    <t>La florida</t>
  </si>
  <si>
    <t>La llanada</t>
  </si>
  <si>
    <t>La tola</t>
  </si>
  <si>
    <t>San lorenzo</t>
  </si>
  <si>
    <t>San pedro de cartago</t>
  </si>
  <si>
    <t>CÓRDOBA (QUI)</t>
  </si>
  <si>
    <t>Guatica</t>
  </si>
  <si>
    <t>COBERTURA FINAL 2013</t>
  </si>
  <si>
    <t>Control de Municipios</t>
  </si>
  <si>
    <t>Control de Cupos</t>
  </si>
  <si>
    <t>SAN ANDRÉS (SAN)</t>
  </si>
  <si>
    <t>SAN ANDRÉS SOTAVENTO</t>
  </si>
  <si>
    <t>NARIÑO ZONA 1</t>
  </si>
  <si>
    <t>NARIÑO ZONA 2</t>
  </si>
  <si>
    <t>Control Presupuesto ---&gt;</t>
  </si>
  <si>
    <t xml:space="preserve">SUBTOTAL DE COSTOS CON ADMINISTRACIÓN </t>
  </si>
  <si>
    <t>Valor de Aporte ICBF</t>
  </si>
  <si>
    <t>Transporte y Viáticos de Referencia</t>
  </si>
  <si>
    <t>Cotización de Papelería</t>
  </si>
  <si>
    <t>Escenarios para Análisis</t>
  </si>
  <si>
    <t>Costos por Departamentos y Detalle</t>
  </si>
  <si>
    <t>Otros costos: Celular, internet, materiales, refrigerios y chalecos</t>
  </si>
</sst>
</file>

<file path=xl/styles.xml><?xml version="1.0" encoding="utf-8"?>
<styleSheet xmlns="http://schemas.openxmlformats.org/spreadsheetml/2006/main">
  <numFmts count="35">
    <numFmt numFmtId="44" formatCode="_(&quot;$&quot;\ * #,##0.00_);_(&quot;$&quot;\ * \(#,##0.00\);_(&quot;$&quot;\ * &quot;-&quot;??_);_(@_)"/>
    <numFmt numFmtId="43" formatCode="_(* #,##0.00_);_(* \(#,##0.00\);_(* &quot;-&quot;??_);_(@_)"/>
    <numFmt numFmtId="164" formatCode="_(&quot;$&quot;\ * #,##0_);_(&quot;$&quot;\ * \(#,##0\);_(&quot;$&quot;\ * &quot;-&quot;??_);_(@_)"/>
    <numFmt numFmtId="165" formatCode="_-* #,##0.00\ &quot;€&quot;_-;\-* #,##0.00\ &quot;€&quot;_-;_-* &quot;-&quot;??\ &quot;€&quot;_-;_-@_-"/>
    <numFmt numFmtId="166" formatCode="_ [$€-2]\ * #,##0.00_ ;_ [$€-2]\ * \-#,##0.00_ ;_ [$€-2]\ * &quot;-&quot;??_ "/>
    <numFmt numFmtId="167" formatCode="[$-F800]dddd\,\ mmmm\ dd\,\ yyyy"/>
    <numFmt numFmtId="168" formatCode="_-* #,##0.00\ _€_-;\-* #,##0.00\ _€_-;_-* &quot;-&quot;??\ _€_-;_-@_-"/>
    <numFmt numFmtId="169" formatCode="_ * #,##0.00_ ;_ * \-#,##0.00_ ;_ * &quot;-&quot;??_ ;_ @_ "/>
    <numFmt numFmtId="170" formatCode="_ &quot;$&quot;\ * #,##0.00_ ;_ &quot;$&quot;\ * \-#,##0.00_ ;_ &quot;$&quot;\ * &quot;-&quot;??_ ;_ @_ "/>
    <numFmt numFmtId="171" formatCode="#,##0_ ;[Red]\-#,##0\ "/>
    <numFmt numFmtId="172" formatCode="_ * #,##0.0_ ;_ * \-#,##0.0_ ;_ * &quot;-&quot;??_ ;_ @_ "/>
    <numFmt numFmtId="173" formatCode="&quot;$&quot;\ #,##0"/>
    <numFmt numFmtId="174" formatCode="_(* #,##0.000_);_(* \(#,##0.000\);_(* &quot;-&quot;??_);_(@_)"/>
    <numFmt numFmtId="175" formatCode="_ &quot;$&quot;\ * #,##0_ ;_ &quot;$&quot;\ * \-#,##0_ ;_ &quot;$&quot;\ * &quot;-&quot;??_ ;_ @_ "/>
    <numFmt numFmtId="176" formatCode="&quot;$&quot;\ #,##0.00"/>
    <numFmt numFmtId="177" formatCode="_-* #,##0\ _€_-;\-* #,##0\ _€_-;_-* &quot;-&quot;??\ _€_-;_-@_-"/>
    <numFmt numFmtId="178" formatCode="_(* #,##0_);_(* \(#,##0\);_(* &quot;-&quot;??_);_(@_)"/>
    <numFmt numFmtId="179" formatCode="_(* #,##0.0_);_(* \(#,##0.0\);_(* &quot;-&quot;??_);_(@_)"/>
    <numFmt numFmtId="180" formatCode="&quot;Desde &quot;###"/>
    <numFmt numFmtId="181" formatCode="&quot;Hasta &quot;###"/>
    <numFmt numFmtId="182" formatCode="0\ &quot;meses&quot;"/>
    <numFmt numFmtId="183" formatCode="_(* #,##0.0000_);_(* \(#,##0.0000\);_(* &quot;-&quot;??_);_(@_)"/>
    <numFmt numFmtId="184" formatCode="0\ &quot;meses más&quot;"/>
    <numFmt numFmtId="185" formatCode="#\ ?/2"/>
    <numFmt numFmtId="186" formatCode="_(&quot;$&quot;\ * #,##0.000000_);_(&quot;$&quot;\ * \(#,##0.000000\);_(&quot;$&quot;\ * &quot;-&quot;??_);_(@_)"/>
    <numFmt numFmtId="187" formatCode="#,##0.00000"/>
    <numFmt numFmtId="188" formatCode="##\ &quot;Encuestas&quot;"/>
    <numFmt numFmtId="189" formatCode="0.0"/>
    <numFmt numFmtId="190" formatCode="##\ &quot;Visitas por dia&quot;"/>
    <numFmt numFmtId="191" formatCode="_(&quot;$&quot;\ * #,##0.0000_);_(&quot;$&quot;\ * \(#,##0.0000\);_(&quot;$&quot;\ * &quot;-&quot;??_);_(@_)"/>
    <numFmt numFmtId="192" formatCode="0.0%"/>
    <numFmt numFmtId="193" formatCode="_ * #,##0_ ;_ * \-#,##0_ ;_ * &quot;-&quot;??_ ;_ @_ "/>
    <numFmt numFmtId="194" formatCode="0.000"/>
    <numFmt numFmtId="195" formatCode="0.000%"/>
    <numFmt numFmtId="196" formatCode="0.000000%"/>
  </numFmts>
  <fonts count="95">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4"/>
      <name val="Arial"/>
      <family val="2"/>
    </font>
    <font>
      <sz val="8"/>
      <name val="Arial"/>
      <family val="2"/>
    </font>
    <font>
      <b/>
      <sz val="8"/>
      <name val="Arial"/>
      <family val="2"/>
    </font>
    <font>
      <u/>
      <sz val="11"/>
      <color theme="10"/>
      <name val="Calibri"/>
      <family val="2"/>
    </font>
    <font>
      <u/>
      <sz val="10"/>
      <color theme="10"/>
      <name val="Arial"/>
      <family val="2"/>
    </font>
    <font>
      <sz val="11"/>
      <color theme="1"/>
      <name val="Arial"/>
      <family val="2"/>
    </font>
    <font>
      <sz val="10"/>
      <name val="Zurich BT"/>
      <family val="2"/>
    </font>
    <font>
      <sz val="10"/>
      <color theme="1"/>
      <name val="Zurich BT"/>
      <family val="2"/>
    </font>
    <font>
      <sz val="10"/>
      <color theme="1"/>
      <name val="Arial"/>
      <family val="2"/>
    </font>
    <font>
      <sz val="11"/>
      <color indexed="8"/>
      <name val="Calibri"/>
      <family val="2"/>
    </font>
    <font>
      <sz val="10"/>
      <color indexed="9"/>
      <name val="Arial"/>
      <family val="2"/>
    </font>
    <font>
      <b/>
      <sz val="14"/>
      <color theme="1"/>
      <name val="Calibri"/>
      <family val="2"/>
      <scheme val="minor"/>
    </font>
    <font>
      <b/>
      <sz val="9"/>
      <name val="Arial"/>
      <family val="2"/>
    </font>
    <font>
      <sz val="9"/>
      <name val="Arial"/>
      <family val="2"/>
    </font>
    <font>
      <sz val="11"/>
      <name val="Arial"/>
      <family val="2"/>
    </font>
    <font>
      <b/>
      <sz val="10"/>
      <name val="Arial"/>
      <family val="2"/>
    </font>
    <font>
      <sz val="9"/>
      <color indexed="81"/>
      <name val="Tahoma"/>
      <family val="2"/>
    </font>
    <font>
      <b/>
      <sz val="9"/>
      <color indexed="81"/>
      <name val="Tahoma"/>
      <family val="2"/>
    </font>
    <font>
      <sz val="11"/>
      <name val="Arial Narrow"/>
      <family val="2"/>
    </font>
    <font>
      <sz val="10"/>
      <color rgb="FF000000"/>
      <name val="Calibri"/>
      <family val="2"/>
      <scheme val="minor"/>
    </font>
    <font>
      <b/>
      <sz val="11"/>
      <name val="Arial"/>
      <family val="2"/>
    </font>
    <font>
      <b/>
      <sz val="11"/>
      <name val="Arial Narrow"/>
      <family val="2"/>
    </font>
    <font>
      <b/>
      <sz val="10"/>
      <name val="Arial Narrow"/>
      <family val="2"/>
    </font>
    <font>
      <sz val="10"/>
      <name val="Arial Narrow"/>
      <family val="2"/>
    </font>
    <font>
      <b/>
      <sz val="11"/>
      <color theme="1"/>
      <name val="Arial Narrow"/>
      <family val="2"/>
    </font>
    <font>
      <sz val="11"/>
      <color theme="1"/>
      <name val="Arial Narrow"/>
      <family val="2"/>
    </font>
    <font>
      <sz val="11"/>
      <color rgb="FF000000"/>
      <name val="Arial Narrow"/>
      <family val="2"/>
    </font>
    <font>
      <b/>
      <sz val="11"/>
      <color theme="1"/>
      <name val="Arial"/>
      <family val="2"/>
    </font>
    <font>
      <b/>
      <sz val="12"/>
      <color theme="1"/>
      <name val="Arial"/>
      <family val="2"/>
    </font>
    <font>
      <b/>
      <sz val="11"/>
      <color rgb="FFFF0000"/>
      <name val="Arial"/>
      <family val="2"/>
    </font>
    <font>
      <b/>
      <sz val="10"/>
      <color theme="1"/>
      <name val="Zurich BT"/>
    </font>
    <font>
      <sz val="10"/>
      <name val="Zurich BT"/>
    </font>
    <font>
      <b/>
      <sz val="10"/>
      <color rgb="FF000000"/>
      <name val="Arial"/>
      <family val="2"/>
    </font>
    <font>
      <sz val="10"/>
      <color rgb="FF000000"/>
      <name val="Arial"/>
      <family val="2"/>
    </font>
    <font>
      <b/>
      <sz val="10"/>
      <color theme="1"/>
      <name val="Arial"/>
      <family val="2"/>
    </font>
    <font>
      <sz val="8"/>
      <color indexed="81"/>
      <name val="Tahoma"/>
      <family val="2"/>
    </font>
    <font>
      <b/>
      <sz val="18"/>
      <color theme="1"/>
      <name val="Arial"/>
      <family val="2"/>
    </font>
    <font>
      <b/>
      <sz val="48"/>
      <color theme="1"/>
      <name val="Comic Sans MS"/>
      <family val="4"/>
    </font>
    <font>
      <b/>
      <sz val="16"/>
      <name val="Arial"/>
      <family val="2"/>
    </font>
    <font>
      <sz val="11"/>
      <color theme="0" tint="-0.14999847407452621"/>
      <name val="Arial"/>
      <family val="2"/>
    </font>
    <font>
      <sz val="10"/>
      <color indexed="8"/>
      <name val="Zurich BT"/>
      <family val="2"/>
    </font>
    <font>
      <sz val="16"/>
      <name val="Arial"/>
      <family val="2"/>
    </font>
    <font>
      <b/>
      <sz val="10"/>
      <color indexed="47"/>
      <name val="Arial"/>
      <family val="2"/>
    </font>
    <font>
      <b/>
      <sz val="14"/>
      <name val="Arial"/>
      <family val="2"/>
    </font>
    <font>
      <b/>
      <sz val="9"/>
      <color theme="1"/>
      <name val="Calibri"/>
      <family val="2"/>
      <scheme val="minor"/>
    </font>
    <font>
      <b/>
      <sz val="11"/>
      <color rgb="FF000000"/>
      <name val="Arial"/>
      <family val="2"/>
    </font>
    <font>
      <sz val="11"/>
      <color rgb="FF000000"/>
      <name val="Arial"/>
      <family val="2"/>
    </font>
    <font>
      <b/>
      <sz val="8"/>
      <color indexed="81"/>
      <name val="Tahoma"/>
      <family val="2"/>
    </font>
    <font>
      <b/>
      <sz val="10"/>
      <color theme="1"/>
      <name val="Arial Narrow"/>
      <family val="2"/>
    </font>
    <font>
      <b/>
      <sz val="10"/>
      <color rgb="FF000000"/>
      <name val="Calibri"/>
      <family val="2"/>
      <scheme val="minor"/>
    </font>
    <font>
      <sz val="10"/>
      <color theme="1"/>
      <name val="Arial Narrow"/>
      <family val="2"/>
    </font>
    <font>
      <sz val="11"/>
      <color theme="0"/>
      <name val="Arial Narrow"/>
      <family val="2"/>
    </font>
    <font>
      <sz val="11"/>
      <color rgb="FFFF0000"/>
      <name val="Arial Narrow"/>
      <family val="2"/>
    </font>
    <font>
      <b/>
      <sz val="10"/>
      <color rgb="FF000000"/>
      <name val="Arial Narrow"/>
      <family val="2"/>
    </font>
    <font>
      <u/>
      <sz val="10"/>
      <color theme="10"/>
      <name val="Arial Narrow"/>
      <family val="2"/>
    </font>
    <font>
      <b/>
      <sz val="14"/>
      <color rgb="FFFF0000"/>
      <name val="Calibri"/>
      <family val="2"/>
      <scheme val="minor"/>
    </font>
    <font>
      <sz val="11"/>
      <color indexed="18"/>
      <name val="Calibri"/>
      <family val="2"/>
      <scheme val="minor"/>
    </font>
    <font>
      <b/>
      <sz val="14"/>
      <color indexed="18"/>
      <name val="Calibri"/>
      <family val="2"/>
      <scheme val="minor"/>
    </font>
    <font>
      <sz val="12"/>
      <name val="Arial Narrow"/>
      <family val="2"/>
    </font>
    <font>
      <sz val="9"/>
      <name val="Arial Narrow"/>
      <family val="2"/>
    </font>
    <font>
      <b/>
      <sz val="12"/>
      <color theme="1"/>
      <name val="Arial Narrow"/>
      <family val="2"/>
    </font>
    <font>
      <b/>
      <sz val="14"/>
      <color theme="1"/>
      <name val="Arial Narrow"/>
      <family val="2"/>
    </font>
    <font>
      <b/>
      <sz val="12"/>
      <name val="Arial Narrow"/>
      <family val="2"/>
    </font>
    <font>
      <sz val="9"/>
      <color theme="1"/>
      <name val="Arial Narrow"/>
      <family val="2"/>
    </font>
    <font>
      <sz val="7"/>
      <name val="Arial Narrow"/>
      <family val="2"/>
    </font>
    <font>
      <sz val="12"/>
      <color theme="1"/>
      <name val="Arial Narrow"/>
      <family val="2"/>
    </font>
    <font>
      <b/>
      <u/>
      <sz val="11"/>
      <color theme="1"/>
      <name val="Arial Narrow"/>
      <family val="2"/>
    </font>
    <font>
      <b/>
      <u/>
      <sz val="10"/>
      <color theme="1"/>
      <name val="Arial Narrow"/>
      <family val="2"/>
    </font>
    <font>
      <sz val="6"/>
      <color theme="0"/>
      <name val="Arial Narrow"/>
      <family val="2"/>
    </font>
    <font>
      <sz val="11"/>
      <color indexed="8"/>
      <name val="Arial Narrow"/>
      <family val="2"/>
    </font>
    <font>
      <sz val="12"/>
      <color indexed="8"/>
      <name val="Arial Narrow"/>
      <family val="2"/>
    </font>
    <font>
      <b/>
      <sz val="12"/>
      <color indexed="8"/>
      <name val="Arial Narrow"/>
      <family val="2"/>
    </font>
    <font>
      <b/>
      <sz val="12"/>
      <color rgb="FFFF0000"/>
      <name val="Arial Narrow"/>
      <family val="2"/>
    </font>
    <font>
      <b/>
      <sz val="12"/>
      <color indexed="10"/>
      <name val="Arial Narrow"/>
      <family val="2"/>
    </font>
    <font>
      <sz val="6"/>
      <color theme="1"/>
      <name val="Arial Narrow"/>
      <family val="2"/>
    </font>
    <font>
      <u/>
      <sz val="16"/>
      <color theme="10"/>
      <name val="Arial"/>
      <family val="2"/>
    </font>
    <font>
      <b/>
      <sz val="11"/>
      <color indexed="18"/>
      <name val="Calibri"/>
      <family val="2"/>
      <scheme val="minor"/>
    </font>
    <font>
      <b/>
      <u/>
      <sz val="16"/>
      <color indexed="18"/>
      <name val="Calibri"/>
      <family val="2"/>
      <scheme val="minor"/>
    </font>
    <font>
      <b/>
      <u/>
      <sz val="14"/>
      <color theme="1"/>
      <name val="Arial Narrow"/>
      <family val="2"/>
    </font>
    <font>
      <sz val="10"/>
      <color rgb="FFFF0000"/>
      <name val="Arial Narrow"/>
      <family val="2"/>
    </font>
    <font>
      <sz val="10"/>
      <color rgb="FFFF0000"/>
      <name val="Arial"/>
      <family val="2"/>
    </font>
    <font>
      <b/>
      <sz val="11"/>
      <color theme="0" tint="-0.14999847407452621"/>
      <name val="Arial"/>
      <family val="2"/>
    </font>
    <font>
      <b/>
      <sz val="14"/>
      <color theme="1"/>
      <name val="Arial"/>
      <family val="2"/>
    </font>
    <font>
      <sz val="10"/>
      <color theme="0"/>
      <name val="Arial Narrow"/>
      <family val="2"/>
    </font>
    <font>
      <sz val="8"/>
      <color theme="1"/>
      <name val="Arial Narrow"/>
      <family val="2"/>
    </font>
    <font>
      <sz val="2"/>
      <color theme="1"/>
      <name val="Arial Narrow"/>
      <family val="2"/>
    </font>
    <font>
      <sz val="10"/>
      <color theme="0" tint="-0.249977111117893"/>
      <name val="Arial Narrow"/>
      <family val="2"/>
    </font>
    <font>
      <sz val="8"/>
      <name val="Arial Narrow"/>
      <family val="2"/>
    </font>
    <font>
      <b/>
      <sz val="8"/>
      <color theme="1"/>
      <name val="Arial Narrow"/>
      <family val="2"/>
    </font>
    <font>
      <sz val="8"/>
      <color indexed="18"/>
      <name val="Calibri"/>
      <family val="2"/>
      <scheme val="minor"/>
    </font>
    <font>
      <u/>
      <sz val="8"/>
      <color theme="10"/>
      <name val="Calibri"/>
      <family val="2"/>
    </font>
  </fonts>
  <fills count="2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C5D9F1"/>
        <bgColor indexed="64"/>
      </patternFill>
    </fill>
    <fill>
      <patternFill patternType="solid">
        <fgColor theme="6" tint="0.59999389629810485"/>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47"/>
        <bgColor indexed="64"/>
      </patternFill>
    </fill>
    <fill>
      <patternFill patternType="solid">
        <fgColor theme="1" tint="0.499984740745262"/>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s>
  <borders count="82">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9"/>
      </right>
      <top style="double">
        <color indexed="9"/>
      </top>
      <bottom style="medium">
        <color indexed="64"/>
      </bottom>
      <diagonal/>
    </border>
    <border>
      <left style="thin">
        <color indexed="9"/>
      </left>
      <right style="thin">
        <color indexed="9"/>
      </right>
      <top style="double">
        <color indexed="9"/>
      </top>
      <bottom style="medium">
        <color indexed="64"/>
      </bottom>
      <diagonal/>
    </border>
    <border>
      <left style="thin">
        <color indexed="9"/>
      </left>
      <right style="medium">
        <color indexed="64"/>
      </right>
      <top style="double">
        <color indexed="9"/>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s>
  <cellStyleXfs count="134">
    <xf numFmtId="0" fontId="0" fillId="0" borderId="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 fillId="0" borderId="0"/>
    <xf numFmtId="0" fontId="7" fillId="0" borderId="0" applyNumberFormat="0" applyFill="0" applyBorder="0" applyAlignment="0" applyProtection="0">
      <alignment vertical="top"/>
      <protection locked="0"/>
    </xf>
    <xf numFmtId="0" fontId="1" fillId="0" borderId="0"/>
    <xf numFmtId="165" fontId="3" fillId="0" borderId="0" applyFont="0" applyFill="0" applyBorder="0" applyAlignment="0" applyProtection="0"/>
    <xf numFmtId="166" fontId="3" fillId="0" borderId="0" applyFont="0" applyFill="0" applyBorder="0" applyAlignment="0" applyProtection="0"/>
    <xf numFmtId="0" fontId="8" fillId="0" borderId="0" applyNumberFormat="0" applyFill="0" applyBorder="0" applyAlignment="0" applyProtection="0">
      <alignment vertical="top"/>
      <protection locked="0"/>
    </xf>
    <xf numFmtId="164" fontId="9" fillId="0" borderId="0" applyFont="0" applyFill="0" applyBorder="0" applyAlignment="0" applyProtection="0"/>
    <xf numFmtId="43" fontId="1"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10" fillId="0" borderId="0" applyFont="0" applyFill="0" applyBorder="0" applyAlignment="0" applyProtection="0"/>
    <xf numFmtId="43" fontId="11" fillId="0" borderId="0" applyFont="0" applyFill="0" applyBorder="0" applyAlignment="0" applyProtection="0"/>
    <xf numFmtId="167"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9" fillId="0" borderId="0" applyFont="0" applyFill="0" applyBorder="0" applyAlignment="0" applyProtection="0"/>
    <xf numFmtId="44" fontId="1" fillId="0" borderId="0" applyFont="0" applyFill="0" applyBorder="0" applyAlignment="0" applyProtection="0"/>
    <xf numFmtId="170" fontId="3"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44"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9" fillId="0" borderId="0"/>
    <xf numFmtId="0" fontId="14" fillId="0" borderId="0">
      <alignment vertical="top"/>
    </xf>
    <xf numFmtId="169" fontId="3" fillId="0" borderId="0" applyFont="0" applyFill="0" applyBorder="0" applyAlignment="0" applyProtection="0"/>
    <xf numFmtId="169" fontId="3" fillId="0" borderId="0" applyFont="0" applyFill="0" applyBorder="0" applyAlignment="0" applyProtection="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9" fontId="1"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35" fillId="0" borderId="0"/>
    <xf numFmtId="9" fontId="35" fillId="0" borderId="0" applyFont="0" applyFill="0" applyBorder="0" applyAlignment="0" applyProtection="0"/>
    <xf numFmtId="0" fontId="13" fillId="0" borderId="0"/>
    <xf numFmtId="43" fontId="13" fillId="0" borderId="0" applyFont="0" applyFill="0" applyBorder="0" applyAlignment="0" applyProtection="0"/>
    <xf numFmtId="0" fontId="35" fillId="0" borderId="0"/>
    <xf numFmtId="0" fontId="44" fillId="0" borderId="0"/>
    <xf numFmtId="0" fontId="1" fillId="0" borderId="0"/>
    <xf numFmtId="0" fontId="3" fillId="0" borderId="0"/>
    <xf numFmtId="0" fontId="3" fillId="0" borderId="0"/>
    <xf numFmtId="9" fontId="1" fillId="0" borderId="0" applyFont="0" applyFill="0" applyBorder="0" applyAlignment="0" applyProtection="0"/>
    <xf numFmtId="0" fontId="3" fillId="0" borderId="0"/>
    <xf numFmtId="44" fontId="1" fillId="0" borderId="0" applyFont="0" applyFill="0" applyBorder="0" applyAlignment="0" applyProtection="0"/>
    <xf numFmtId="44" fontId="11" fillId="0" borderId="0" applyFont="0" applyFill="0" applyBorder="0" applyAlignment="0" applyProtection="0"/>
  </cellStyleXfs>
  <cellXfs count="1334">
    <xf numFmtId="0" fontId="0" fillId="0" borderId="0" xfId="0"/>
    <xf numFmtId="0" fontId="61" fillId="0" borderId="33" xfId="0" applyNumberFormat="1" applyFont="1" applyBorder="1" applyAlignment="1">
      <alignment horizontal="center" vertical="center" wrapText="1"/>
    </xf>
    <xf numFmtId="0" fontId="5" fillId="0" borderId="0" xfId="4" applyFont="1"/>
    <xf numFmtId="3" fontId="5" fillId="0" borderId="0" xfId="4" applyNumberFormat="1" applyFont="1"/>
    <xf numFmtId="0" fontId="7" fillId="0" borderId="0" xfId="5" applyAlignment="1" applyProtection="1">
      <alignment vertical="center"/>
    </xf>
    <xf numFmtId="0" fontId="3" fillId="0" borderId="0" xfId="4" applyFont="1" applyBorder="1" applyAlignment="1">
      <alignment vertical="center"/>
    </xf>
    <xf numFmtId="0" fontId="1" fillId="0" borderId="0" xfId="6"/>
    <xf numFmtId="0" fontId="3" fillId="0" borderId="0" xfId="4"/>
    <xf numFmtId="0" fontId="2" fillId="0" borderId="1" xfId="6" applyFont="1" applyBorder="1" applyAlignment="1">
      <alignment horizontal="center" vertical="center"/>
    </xf>
    <xf numFmtId="0" fontId="1" fillId="0" borderId="2" xfId="6" applyBorder="1"/>
    <xf numFmtId="0" fontId="1" fillId="0" borderId="3" xfId="6" applyBorder="1"/>
    <xf numFmtId="1" fontId="6" fillId="2" borderId="4" xfId="4" applyNumberFormat="1" applyFont="1" applyFill="1" applyBorder="1" applyAlignment="1">
      <alignment horizontal="center" vertical="center" wrapText="1"/>
    </xf>
    <xf numFmtId="3" fontId="6" fillId="0" borderId="0" xfId="4" applyNumberFormat="1" applyFont="1" applyBorder="1" applyAlignment="1">
      <alignment horizontal="center" vertical="center" wrapText="1"/>
    </xf>
    <xf numFmtId="0" fontId="0" fillId="0" borderId="5" xfId="0" applyBorder="1"/>
    <xf numFmtId="0" fontId="0" fillId="0" borderId="6" xfId="0" applyBorder="1"/>
    <xf numFmtId="0" fontId="0" fillId="0" borderId="7" xfId="0" applyBorder="1"/>
    <xf numFmtId="164" fontId="0" fillId="0" borderId="8" xfId="3" applyNumberFormat="1" applyFont="1" applyBorder="1"/>
    <xf numFmtId="3" fontId="5" fillId="0" borderId="0" xfId="4" applyNumberFormat="1" applyFont="1" applyBorder="1" applyAlignment="1"/>
    <xf numFmtId="0" fontId="0" fillId="0" borderId="9" xfId="0" applyBorder="1"/>
    <xf numFmtId="0" fontId="0" fillId="0" borderId="10" xfId="0" applyBorder="1"/>
    <xf numFmtId="0" fontId="0" fillId="0" borderId="11" xfId="0" applyBorder="1"/>
    <xf numFmtId="164" fontId="0" fillId="0" borderId="12" xfId="3" applyNumberFormat="1" applyFont="1" applyBorder="1"/>
    <xf numFmtId="0" fontId="0" fillId="3" borderId="9" xfId="0" applyFill="1" applyBorder="1"/>
    <xf numFmtId="0" fontId="0" fillId="0" borderId="13" xfId="0" applyBorder="1"/>
    <xf numFmtId="0" fontId="0" fillId="0" borderId="14" xfId="0" applyBorder="1"/>
    <xf numFmtId="0" fontId="0" fillId="0" borderId="15" xfId="0" applyBorder="1"/>
    <xf numFmtId="164" fontId="0" fillId="0" borderId="16" xfId="3" applyNumberFormat="1" applyFont="1" applyBorder="1"/>
    <xf numFmtId="0" fontId="23" fillId="0" borderId="20" xfId="0" applyFont="1" applyBorder="1"/>
    <xf numFmtId="0" fontId="23" fillId="0" borderId="38" xfId="0" applyFont="1" applyBorder="1"/>
    <xf numFmtId="0" fontId="27" fillId="0" borderId="11" xfId="0" applyFont="1" applyFill="1" applyBorder="1" applyAlignment="1" applyProtection="1">
      <alignment horizontal="left"/>
    </xf>
    <xf numFmtId="43" fontId="27" fillId="7" borderId="11" xfId="2" applyFont="1" applyFill="1" applyBorder="1" applyAlignment="1" applyProtection="1">
      <alignment horizontal="center" vertical="center" wrapText="1"/>
    </xf>
    <xf numFmtId="0" fontId="27" fillId="0" borderId="11" xfId="0" applyFont="1" applyFill="1" applyBorder="1" applyAlignment="1" applyProtection="1">
      <alignment horizontal="center"/>
    </xf>
    <xf numFmtId="164" fontId="27" fillId="0" borderId="11" xfId="3" applyNumberFormat="1" applyFont="1" applyFill="1" applyBorder="1" applyProtection="1"/>
    <xf numFmtId="0" fontId="27" fillId="0" borderId="0" xfId="0" applyFont="1" applyFill="1" applyProtection="1"/>
    <xf numFmtId="0" fontId="27" fillId="0" borderId="0" xfId="0" applyFont="1" applyFill="1" applyAlignment="1" applyProtection="1">
      <alignment wrapText="1"/>
    </xf>
    <xf numFmtId="43" fontId="27" fillId="0" borderId="0" xfId="2" applyFont="1" applyFill="1" applyProtection="1"/>
    <xf numFmtId="164" fontId="27" fillId="0" borderId="0" xfId="3" applyNumberFormat="1" applyFont="1" applyFill="1" applyProtection="1"/>
    <xf numFmtId="0" fontId="28" fillId="0" borderId="0" xfId="6" applyFont="1"/>
    <xf numFmtId="0" fontId="29" fillId="0" borderId="0" xfId="6" applyFont="1"/>
    <xf numFmtId="0" fontId="29" fillId="0" borderId="0" xfId="6" applyFont="1" applyAlignment="1">
      <alignment horizontal="left" vertical="center"/>
    </xf>
    <xf numFmtId="9" fontId="22" fillId="7" borderId="5" xfId="119" applyFont="1" applyFill="1" applyBorder="1" applyAlignment="1">
      <alignment horizontal="right" vertical="center" wrapText="1"/>
    </xf>
    <xf numFmtId="43" fontId="22" fillId="7" borderId="24" xfId="10" applyNumberFormat="1" applyFont="1" applyFill="1" applyBorder="1" applyAlignment="1">
      <alignment horizontal="left" vertical="center" wrapText="1"/>
    </xf>
    <xf numFmtId="9" fontId="22" fillId="7" borderId="9" xfId="119" applyFont="1" applyFill="1" applyBorder="1" applyAlignment="1">
      <alignment horizontal="right" vertical="center" wrapText="1"/>
    </xf>
    <xf numFmtId="9" fontId="22" fillId="7" borderId="23" xfId="119" applyFont="1" applyFill="1" applyBorder="1" applyAlignment="1">
      <alignment horizontal="right" vertical="center" wrapText="1"/>
    </xf>
    <xf numFmtId="0" fontId="29" fillId="4" borderId="0" xfId="6" applyFont="1" applyFill="1"/>
    <xf numFmtId="0" fontId="29" fillId="0" borderId="0" xfId="6" applyFont="1" applyFill="1" applyBorder="1"/>
    <xf numFmtId="0" fontId="28" fillId="0" borderId="0" xfId="6" applyFont="1" applyFill="1" applyBorder="1" applyAlignment="1">
      <alignment horizontal="center" vertical="center"/>
    </xf>
    <xf numFmtId="178" fontId="28" fillId="0" borderId="0" xfId="11" applyNumberFormat="1" applyFont="1" applyFill="1" applyBorder="1"/>
    <xf numFmtId="0" fontId="29" fillId="0" borderId="0" xfId="6" applyFont="1" applyFill="1" applyBorder="1" applyAlignment="1">
      <alignment horizontal="left" vertical="center" indent="2"/>
    </xf>
    <xf numFmtId="164" fontId="29" fillId="0" borderId="0" xfId="38" applyNumberFormat="1" applyFont="1" applyFill="1" applyBorder="1" applyAlignment="1">
      <alignment vertical="center" wrapText="1"/>
    </xf>
    <xf numFmtId="10" fontId="25" fillId="6" borderId="17" xfId="114" applyNumberFormat="1" applyFont="1" applyFill="1" applyBorder="1" applyAlignment="1">
      <alignment horizontal="center" vertical="center" wrapText="1"/>
    </xf>
    <xf numFmtId="10" fontId="25" fillId="6" borderId="20" xfId="114" applyNumberFormat="1" applyFont="1" applyFill="1" applyBorder="1" applyAlignment="1">
      <alignment horizontal="center" vertical="center" wrapText="1"/>
    </xf>
    <xf numFmtId="0" fontId="25" fillId="0" borderId="23" xfId="4" applyFont="1" applyFill="1" applyBorder="1" applyAlignment="1">
      <alignment horizontal="left" vertical="center" wrapText="1"/>
    </xf>
    <xf numFmtId="0" fontId="25" fillId="0" borderId="24" xfId="4" applyFont="1" applyFill="1" applyBorder="1" applyAlignment="1">
      <alignment horizontal="left" vertical="center" wrapText="1"/>
    </xf>
    <xf numFmtId="164" fontId="29" fillId="4" borderId="25" xfId="3" applyNumberFormat="1" applyFont="1" applyFill="1" applyBorder="1" applyAlignment="1">
      <alignment horizontal="left" vertical="center"/>
    </xf>
    <xf numFmtId="164" fontId="22" fillId="0" borderId="26" xfId="3" applyNumberFormat="1" applyFont="1" applyBorder="1" applyAlignment="1">
      <alignment horizontal="left" vertical="center"/>
    </xf>
    <xf numFmtId="164" fontId="22" fillId="0" borderId="27" xfId="3" applyNumberFormat="1" applyFont="1" applyBorder="1" applyAlignment="1">
      <alignment horizontal="left" vertical="center"/>
    </xf>
    <xf numFmtId="168" fontId="22" fillId="0" borderId="23" xfId="36" applyFont="1" applyBorder="1" applyAlignment="1">
      <alignment horizontal="left" vertical="center"/>
    </xf>
    <xf numFmtId="164" fontId="22" fillId="0" borderId="28" xfId="3" applyNumberFormat="1" applyFont="1" applyBorder="1" applyAlignment="1">
      <alignment horizontal="left" vertical="center"/>
    </xf>
    <xf numFmtId="164" fontId="22" fillId="4" borderId="27" xfId="3" applyNumberFormat="1" applyFont="1" applyFill="1" applyBorder="1" applyAlignment="1">
      <alignment horizontal="left" vertical="center"/>
    </xf>
    <xf numFmtId="169" fontId="22" fillId="0" borderId="23" xfId="20" applyNumberFormat="1" applyFont="1" applyBorder="1" applyAlignment="1">
      <alignment horizontal="left" vertical="center"/>
    </xf>
    <xf numFmtId="172" fontId="22" fillId="7" borderId="23" xfId="20" applyNumberFormat="1" applyFont="1" applyFill="1" applyBorder="1" applyAlignment="1">
      <alignment horizontal="left" vertical="center"/>
    </xf>
    <xf numFmtId="164" fontId="22" fillId="0" borderId="23" xfId="37" applyNumberFormat="1" applyFont="1" applyBorder="1" applyAlignment="1">
      <alignment horizontal="left" vertical="center"/>
    </xf>
    <xf numFmtId="0" fontId="25" fillId="0" borderId="1" xfId="4" applyFont="1" applyFill="1" applyBorder="1" applyAlignment="1">
      <alignment horizontal="center" vertical="center" wrapText="1"/>
    </xf>
    <xf numFmtId="0" fontId="25" fillId="0" borderId="29" xfId="4" applyFont="1" applyFill="1" applyBorder="1" applyAlignment="1">
      <alignment horizontal="center" vertical="center" wrapText="1"/>
    </xf>
    <xf numFmtId="173" fontId="25" fillId="0" borderId="30" xfId="4" applyNumberFormat="1" applyFont="1" applyBorder="1" applyAlignment="1">
      <alignment vertical="center"/>
    </xf>
    <xf numFmtId="173" fontId="25" fillId="0" borderId="3" xfId="4" applyNumberFormat="1" applyFont="1" applyBorder="1" applyAlignment="1">
      <alignment vertical="center"/>
    </xf>
    <xf numFmtId="173" fontId="25" fillId="0" borderId="4" xfId="4" applyNumberFormat="1" applyFont="1" applyBorder="1" applyAlignment="1">
      <alignment vertical="center"/>
    </xf>
    <xf numFmtId="168" fontId="25" fillId="0" borderId="1" xfId="36" applyFont="1" applyBorder="1" applyAlignment="1">
      <alignment horizontal="right" vertical="center"/>
    </xf>
    <xf numFmtId="174" fontId="25" fillId="0" borderId="1" xfId="11" applyNumberFormat="1" applyFont="1" applyBorder="1" applyAlignment="1">
      <alignment vertical="center"/>
    </xf>
    <xf numFmtId="174" fontId="25" fillId="0" borderId="31" xfId="11" applyNumberFormat="1" applyFont="1" applyBorder="1" applyAlignment="1">
      <alignment vertical="center"/>
    </xf>
    <xf numFmtId="0" fontId="25" fillId="0" borderId="0" xfId="4" applyFont="1" applyFill="1" applyBorder="1" applyAlignment="1">
      <alignment horizontal="center" vertical="center" wrapText="1"/>
    </xf>
    <xf numFmtId="173" fontId="22" fillId="4" borderId="32" xfId="4" applyNumberFormat="1" applyFont="1" applyFill="1" applyBorder="1" applyAlignment="1">
      <alignment vertical="center"/>
    </xf>
    <xf numFmtId="173" fontId="22" fillId="4" borderId="0" xfId="4" applyNumberFormat="1" applyFont="1" applyFill="1" applyBorder="1" applyAlignment="1">
      <alignment vertical="center"/>
    </xf>
    <xf numFmtId="4" fontId="22" fillId="4" borderId="0" xfId="4" applyNumberFormat="1" applyFont="1" applyFill="1" applyBorder="1" applyAlignment="1">
      <alignment vertical="center"/>
    </xf>
    <xf numFmtId="0" fontId="25" fillId="0" borderId="18" xfId="4" applyFont="1" applyBorder="1" applyAlignment="1">
      <alignment horizontal="center" vertical="center"/>
    </xf>
    <xf numFmtId="0" fontId="25" fillId="0" borderId="33" xfId="4" applyFont="1" applyBorder="1" applyAlignment="1">
      <alignment horizontal="center" vertical="center"/>
    </xf>
    <xf numFmtId="0" fontId="25" fillId="4" borderId="17" xfId="4" applyFont="1" applyFill="1" applyBorder="1" applyAlignment="1">
      <alignment horizontal="center" vertical="center"/>
    </xf>
    <xf numFmtId="0" fontId="22" fillId="4" borderId="0" xfId="4" applyFont="1" applyFill="1" applyBorder="1" applyAlignment="1">
      <alignment vertical="center"/>
    </xf>
    <xf numFmtId="0" fontId="22" fillId="4" borderId="0" xfId="4" applyFont="1" applyFill="1" applyAlignment="1">
      <alignment vertical="center"/>
    </xf>
    <xf numFmtId="0" fontId="22" fillId="0" borderId="5" xfId="4" applyFont="1" applyBorder="1" applyAlignment="1">
      <alignment horizontal="left" vertical="center" indent="2"/>
    </xf>
    <xf numFmtId="0" fontId="22" fillId="0" borderId="34" xfId="4" applyFont="1" applyBorder="1" applyAlignment="1">
      <alignment vertical="center"/>
    </xf>
    <xf numFmtId="175" fontId="22" fillId="7" borderId="5" xfId="40" applyNumberFormat="1" applyFont="1" applyFill="1" applyBorder="1" applyAlignment="1">
      <alignment vertical="center"/>
    </xf>
    <xf numFmtId="0" fontId="22" fillId="0" borderId="9" xfId="4" applyFont="1" applyBorder="1" applyAlignment="1">
      <alignment horizontal="left" vertical="center" indent="2"/>
    </xf>
    <xf numFmtId="0" fontId="22" fillId="0" borderId="35" xfId="4" applyFont="1" applyBorder="1" applyAlignment="1">
      <alignment vertical="center"/>
    </xf>
    <xf numFmtId="175" fontId="22" fillId="7" borderId="9" xfId="40" applyNumberFormat="1" applyFont="1" applyFill="1" applyBorder="1" applyAlignment="1">
      <alignment vertical="center"/>
    </xf>
    <xf numFmtId="176" fontId="22" fillId="4" borderId="0" xfId="4" applyNumberFormat="1" applyFont="1" applyFill="1" applyBorder="1" applyAlignment="1">
      <alignment vertical="center"/>
    </xf>
    <xf numFmtId="0" fontId="22" fillId="0" borderId="36" xfId="4" applyFont="1" applyBorder="1" applyAlignment="1">
      <alignment horizontal="left" vertical="center" indent="2"/>
    </xf>
    <xf numFmtId="0" fontId="22" fillId="0" borderId="37" xfId="4" applyFont="1" applyBorder="1" applyAlignment="1">
      <alignment vertical="center"/>
    </xf>
    <xf numFmtId="177" fontId="22" fillId="7" borderId="36" xfId="36" applyNumberFormat="1" applyFont="1" applyFill="1" applyBorder="1" applyAlignment="1">
      <alignment vertical="center"/>
    </xf>
    <xf numFmtId="0" fontId="25" fillId="0" borderId="0" xfId="4" applyFont="1" applyFill="1" applyBorder="1" applyAlignment="1">
      <alignment vertical="center"/>
    </xf>
    <xf numFmtId="0" fontId="30" fillId="0" borderId="0" xfId="6" applyFont="1" applyFill="1" applyBorder="1" applyAlignment="1">
      <alignment horizontal="left" vertical="center"/>
    </xf>
    <xf numFmtId="173" fontId="28" fillId="0" borderId="4" xfId="4" applyNumberFormat="1" applyFont="1" applyBorder="1" applyAlignment="1">
      <alignment vertical="center"/>
    </xf>
    <xf numFmtId="164" fontId="26" fillId="0" borderId="0" xfId="3" applyNumberFormat="1" applyFont="1" applyFill="1" applyAlignment="1" applyProtection="1">
      <alignment horizontal="center"/>
    </xf>
    <xf numFmtId="0" fontId="25" fillId="6" borderId="18" xfId="4" applyFont="1" applyFill="1" applyBorder="1" applyAlignment="1">
      <alignment horizontal="center" vertical="center" wrapText="1"/>
    </xf>
    <xf numFmtId="0" fontId="25" fillId="6" borderId="19" xfId="4" applyFont="1" applyFill="1" applyBorder="1" applyAlignment="1">
      <alignment horizontal="center" vertical="center" wrapText="1"/>
    </xf>
    <xf numFmtId="0" fontId="25" fillId="6" borderId="17" xfId="4" applyFont="1" applyFill="1" applyBorder="1" applyAlignment="1">
      <alignment horizontal="center" vertical="center" wrapText="1"/>
    </xf>
    <xf numFmtId="0" fontId="25" fillId="6" borderId="21" xfId="4" applyFont="1" applyFill="1" applyBorder="1" applyAlignment="1">
      <alignment horizontal="center" vertical="center" wrapText="1"/>
    </xf>
    <xf numFmtId="0" fontId="25" fillId="6" borderId="22" xfId="4" applyFont="1" applyFill="1" applyBorder="1" applyAlignment="1">
      <alignment horizontal="center" vertical="center" wrapText="1"/>
    </xf>
    <xf numFmtId="10" fontId="25" fillId="6" borderId="3" xfId="114" applyNumberFormat="1" applyFont="1" applyFill="1" applyBorder="1" applyAlignment="1">
      <alignment horizontal="center" vertical="center" wrapText="1"/>
    </xf>
    <xf numFmtId="9" fontId="25" fillId="6" borderId="3" xfId="114" applyNumberFormat="1" applyFont="1" applyFill="1" applyBorder="1" applyAlignment="1">
      <alignment horizontal="center" vertical="center" wrapText="1"/>
    </xf>
    <xf numFmtId="0" fontId="25" fillId="6" borderId="20" xfId="4" applyFont="1" applyFill="1" applyBorder="1" applyAlignment="1">
      <alignment horizontal="center" vertical="center" wrapText="1"/>
    </xf>
    <xf numFmtId="0" fontId="25" fillId="6" borderId="17" xfId="6" applyFont="1" applyFill="1" applyBorder="1" applyAlignment="1">
      <alignment horizontal="center" vertical="center" wrapText="1"/>
    </xf>
    <xf numFmtId="0" fontId="25" fillId="6" borderId="20" xfId="6" applyFont="1" applyFill="1" applyBorder="1" applyAlignment="1">
      <alignment horizontal="center" vertical="center" wrapText="1"/>
    </xf>
    <xf numFmtId="0" fontId="9" fillId="4" borderId="0" xfId="85" applyFont="1" applyFill="1" applyBorder="1"/>
    <xf numFmtId="0" fontId="9" fillId="0" borderId="0" xfId="85" applyFont="1"/>
    <xf numFmtId="0" fontId="31" fillId="0" borderId="0" xfId="85" applyFont="1" applyBorder="1" applyAlignment="1" applyProtection="1">
      <alignment horizontal="right"/>
      <protection locked="0"/>
    </xf>
    <xf numFmtId="0" fontId="31" fillId="0" borderId="0" xfId="85" applyFont="1" applyBorder="1" applyAlignment="1" applyProtection="1">
      <alignment horizontal="center" vertical="center" wrapText="1"/>
      <protection locked="0"/>
    </xf>
    <xf numFmtId="0" fontId="12" fillId="4" borderId="0" xfId="85" applyFont="1" applyFill="1"/>
    <xf numFmtId="0" fontId="31" fillId="5" borderId="30" xfId="85" applyFont="1" applyFill="1" applyBorder="1" applyAlignment="1">
      <alignment horizontal="center" vertical="center" wrapText="1"/>
    </xf>
    <xf numFmtId="9" fontId="18" fillId="0" borderId="11" xfId="85" applyNumberFormat="1" applyFont="1" applyFill="1" applyBorder="1" applyAlignment="1">
      <alignment horizontal="center" vertical="top" wrapText="1"/>
    </xf>
    <xf numFmtId="0" fontId="31" fillId="0" borderId="0" xfId="85" applyFont="1"/>
    <xf numFmtId="0" fontId="33" fillId="4" borderId="45" xfId="120" applyNumberFormat="1" applyFont="1" applyFill="1" applyBorder="1" applyAlignment="1">
      <alignment horizontal="center" vertical="center"/>
    </xf>
    <xf numFmtId="0" fontId="31" fillId="0" borderId="45" xfId="85" applyFont="1" applyBorder="1"/>
    <xf numFmtId="9" fontId="3" fillId="4" borderId="11" xfId="122" applyNumberFormat="1" applyFont="1" applyFill="1" applyBorder="1" applyAlignment="1">
      <alignment horizontal="center" vertical="center"/>
    </xf>
    <xf numFmtId="10" fontId="37" fillId="7" borderId="11" xfId="118" applyNumberFormat="1" applyFont="1" applyFill="1" applyBorder="1" applyAlignment="1">
      <alignment horizontal="center" vertical="center" wrapText="1"/>
    </xf>
    <xf numFmtId="9" fontId="3" fillId="4" borderId="41" xfId="122" applyNumberFormat="1" applyFont="1" applyFill="1" applyBorder="1" applyAlignment="1">
      <alignment horizontal="center" vertical="center"/>
    </xf>
    <xf numFmtId="10" fontId="37" fillId="7" borderId="41" xfId="118" applyNumberFormat="1" applyFont="1" applyFill="1" applyBorder="1" applyAlignment="1">
      <alignment horizontal="center" vertical="center" wrapText="1"/>
    </xf>
    <xf numFmtId="0" fontId="9" fillId="0" borderId="0" xfId="85" applyFont="1" applyAlignment="1">
      <alignment horizontal="left" vertical="top" wrapText="1"/>
    </xf>
    <xf numFmtId="0" fontId="9" fillId="0" borderId="0" xfId="85" applyFont="1" applyBorder="1"/>
    <xf numFmtId="0" fontId="18" fillId="4" borderId="0" xfId="85" applyFont="1" applyFill="1" applyBorder="1"/>
    <xf numFmtId="49" fontId="17" fillId="4" borderId="0" xfId="85" applyNumberFormat="1" applyFont="1" applyFill="1" applyBorder="1" applyAlignment="1">
      <alignment horizontal="right"/>
    </xf>
    <xf numFmtId="0" fontId="24" fillId="4" borderId="0" xfId="85" applyFont="1" applyFill="1" applyBorder="1" applyAlignment="1">
      <alignment horizontal="center" vertical="center" wrapText="1"/>
    </xf>
    <xf numFmtId="164" fontId="18" fillId="4" borderId="0" xfId="54" applyNumberFormat="1" applyFont="1" applyFill="1" applyBorder="1" applyAlignment="1">
      <alignment horizontal="center"/>
    </xf>
    <xf numFmtId="0" fontId="41" fillId="0" borderId="0" xfId="85" applyFont="1" applyAlignment="1">
      <alignment vertical="center" wrapText="1"/>
    </xf>
    <xf numFmtId="43" fontId="9" fillId="0" borderId="11" xfId="85" applyNumberFormat="1" applyFont="1" applyFill="1" applyBorder="1" applyAlignment="1">
      <alignment horizontal="center"/>
    </xf>
    <xf numFmtId="43" fontId="9" fillId="0" borderId="15" xfId="85" applyNumberFormat="1" applyFont="1" applyFill="1" applyBorder="1" applyAlignment="1">
      <alignment horizontal="center"/>
    </xf>
    <xf numFmtId="9" fontId="18" fillId="0" borderId="15" xfId="85" applyNumberFormat="1" applyFont="1" applyFill="1" applyBorder="1" applyAlignment="1">
      <alignment horizontal="center" vertical="top" wrapText="1"/>
    </xf>
    <xf numFmtId="0" fontId="31" fillId="11" borderId="29" xfId="85" applyFont="1" applyFill="1" applyBorder="1" applyAlignment="1"/>
    <xf numFmtId="0" fontId="31" fillId="11" borderId="45" xfId="85" applyFont="1" applyFill="1" applyBorder="1" applyAlignment="1"/>
    <xf numFmtId="0" fontId="31" fillId="11" borderId="63" xfId="85" applyFont="1" applyFill="1" applyBorder="1" applyAlignment="1"/>
    <xf numFmtId="164" fontId="24" fillId="4" borderId="0" xfId="54" applyNumberFormat="1" applyFont="1" applyFill="1" applyBorder="1" applyAlignment="1">
      <alignment horizontal="center"/>
    </xf>
    <xf numFmtId="0" fontId="9" fillId="0" borderId="45" xfId="85" applyFont="1" applyBorder="1"/>
    <xf numFmtId="0" fontId="31" fillId="5" borderId="1" xfId="85" applyFont="1" applyFill="1" applyBorder="1" applyAlignment="1">
      <alignment horizontal="center" vertical="center" wrapText="1"/>
    </xf>
    <xf numFmtId="0" fontId="9" fillId="0" borderId="10" xfId="85" applyFont="1" applyBorder="1"/>
    <xf numFmtId="164" fontId="24" fillId="4" borderId="0" xfId="85" applyNumberFormat="1" applyFont="1" applyFill="1" applyBorder="1" applyAlignment="1">
      <alignment horizontal="center"/>
    </xf>
    <xf numFmtId="0" fontId="19" fillId="4" borderId="0" xfId="121" applyFont="1" applyFill="1" applyBorder="1" applyAlignment="1">
      <alignment horizontal="center" vertical="center" wrapText="1"/>
    </xf>
    <xf numFmtId="164" fontId="3" fillId="4" borderId="46" xfId="54" applyNumberFormat="1" applyFont="1" applyFill="1" applyBorder="1" applyAlignment="1">
      <alignment horizontal="center" vertical="center" wrapText="1"/>
    </xf>
    <xf numFmtId="164" fontId="3" fillId="4" borderId="0" xfId="54" applyNumberFormat="1" applyFont="1" applyFill="1" applyBorder="1" applyAlignment="1">
      <alignment horizontal="center" vertical="center" wrapText="1"/>
    </xf>
    <xf numFmtId="178" fontId="43" fillId="0" borderId="0" xfId="120" applyNumberFormat="1" applyFont="1"/>
    <xf numFmtId="184" fontId="37" fillId="0" borderId="46" xfId="121" applyNumberFormat="1" applyFont="1" applyFill="1" applyBorder="1" applyAlignment="1">
      <alignment horizontal="right" vertical="center" wrapText="1"/>
    </xf>
    <xf numFmtId="164" fontId="3" fillId="4" borderId="56" xfId="54" applyNumberFormat="1" applyFont="1" applyFill="1" applyBorder="1" applyAlignment="1">
      <alignment horizontal="center" vertical="center" wrapText="1"/>
    </xf>
    <xf numFmtId="184" fontId="37" fillId="0" borderId="56" xfId="121" applyNumberFormat="1" applyFont="1" applyFill="1" applyBorder="1" applyAlignment="1">
      <alignment horizontal="right" vertical="center" wrapText="1"/>
    </xf>
    <xf numFmtId="0" fontId="9" fillId="0" borderId="0" xfId="85" applyAlignment="1">
      <alignment horizontal="left" vertical="top" wrapText="1"/>
    </xf>
    <xf numFmtId="0" fontId="18" fillId="4" borderId="0" xfId="85" applyFont="1" applyFill="1" applyBorder="1" applyAlignment="1">
      <alignment horizontal="left" vertical="top" wrapText="1"/>
    </xf>
    <xf numFmtId="0" fontId="31" fillId="11" borderId="29" xfId="85" applyFont="1" applyFill="1" applyBorder="1" applyAlignment="1">
      <alignment horizontal="left" indent="2"/>
    </xf>
    <xf numFmtId="0" fontId="9" fillId="0" borderId="35" xfId="85" applyFont="1" applyBorder="1"/>
    <xf numFmtId="0" fontId="1" fillId="0" borderId="0" xfId="103"/>
    <xf numFmtId="0" fontId="11" fillId="0" borderId="0" xfId="71"/>
    <xf numFmtId="0" fontId="2" fillId="0" borderId="30" xfId="103" applyFont="1" applyBorder="1" applyAlignment="1">
      <alignment horizontal="center" vertical="center"/>
    </xf>
    <xf numFmtId="0" fontId="2" fillId="0" borderId="4" xfId="103" applyFont="1" applyBorder="1" applyAlignment="1">
      <alignment horizontal="center" vertical="center"/>
    </xf>
    <xf numFmtId="0" fontId="1" fillId="0" borderId="47" xfId="103" applyBorder="1"/>
    <xf numFmtId="164" fontId="11" fillId="0" borderId="27" xfId="132" applyNumberFormat="1" applyFont="1" applyBorder="1"/>
    <xf numFmtId="1" fontId="16" fillId="0" borderId="11" xfId="131" applyNumberFormat="1" applyFont="1" applyBorder="1" applyAlignment="1">
      <alignment horizontal="center"/>
    </xf>
    <xf numFmtId="37" fontId="16" fillId="2" borderId="11" xfId="132" applyNumberFormat="1" applyFont="1" applyFill="1" applyBorder="1" applyAlignment="1">
      <alignment horizontal="center"/>
    </xf>
    <xf numFmtId="164" fontId="16" fillId="0" borderId="15" xfId="132" applyNumberFormat="1" applyFont="1" applyFill="1" applyBorder="1" applyAlignment="1">
      <alignment vertical="center"/>
    </xf>
    <xf numFmtId="164" fontId="11" fillId="0" borderId="25" xfId="132" applyNumberFormat="1" applyFont="1" applyBorder="1"/>
    <xf numFmtId="164" fontId="11" fillId="0" borderId="12" xfId="132" applyNumberFormat="1" applyFont="1" applyBorder="1"/>
    <xf numFmtId="164" fontId="16" fillId="0" borderId="69" xfId="132" applyNumberFormat="1" applyFont="1" applyBorder="1" applyAlignment="1">
      <alignment vertical="center"/>
    </xf>
    <xf numFmtId="49" fontId="16" fillId="0" borderId="11" xfId="131" applyNumberFormat="1" applyFont="1" applyBorder="1" applyAlignment="1">
      <alignment horizontal="center" vertical="center"/>
    </xf>
    <xf numFmtId="164" fontId="16" fillId="0" borderId="26" xfId="132" applyNumberFormat="1" applyFont="1" applyBorder="1" applyAlignment="1">
      <alignment vertical="center"/>
    </xf>
    <xf numFmtId="164" fontId="16" fillId="0" borderId="11" xfId="132" applyNumberFormat="1" applyFont="1" applyFill="1" applyBorder="1" applyAlignment="1">
      <alignment horizontal="center" vertical="center"/>
    </xf>
    <xf numFmtId="164" fontId="16" fillId="0" borderId="11" xfId="132" applyNumberFormat="1" applyFont="1" applyFill="1" applyBorder="1" applyAlignment="1">
      <alignment horizontal="center"/>
    </xf>
    <xf numFmtId="164" fontId="16" fillId="0" borderId="69" xfId="132" applyNumberFormat="1" applyFont="1" applyFill="1" applyBorder="1" applyAlignment="1">
      <alignment vertical="center"/>
    </xf>
    <xf numFmtId="1" fontId="16" fillId="0" borderId="11" xfId="131" applyNumberFormat="1" applyFont="1" applyBorder="1" applyAlignment="1">
      <alignment horizontal="center" vertical="center"/>
    </xf>
    <xf numFmtId="164" fontId="16" fillId="0" borderId="26" xfId="132" applyNumberFormat="1" applyFont="1" applyFill="1" applyBorder="1" applyAlignment="1">
      <alignment vertical="center"/>
    </xf>
    <xf numFmtId="164" fontId="16" fillId="0" borderId="15" xfId="132" applyNumberFormat="1" applyFont="1" applyFill="1" applyBorder="1" applyAlignment="1">
      <alignment vertical="center" wrapText="1"/>
    </xf>
    <xf numFmtId="37" fontId="16" fillId="14" borderId="11" xfId="132" applyNumberFormat="1" applyFont="1" applyFill="1" applyBorder="1" applyAlignment="1">
      <alignment horizontal="center"/>
    </xf>
    <xf numFmtId="164" fontId="16" fillId="0" borderId="26" xfId="132" applyNumberFormat="1" applyFont="1" applyFill="1" applyBorder="1" applyAlignment="1">
      <alignment vertical="center" wrapText="1"/>
    </xf>
    <xf numFmtId="164" fontId="16" fillId="0" borderId="11" xfId="132" applyNumberFormat="1" applyFont="1" applyFill="1" applyBorder="1" applyAlignment="1">
      <alignment horizontal="center" vertical="center" wrapText="1"/>
    </xf>
    <xf numFmtId="1" fontId="16" fillId="0" borderId="11" xfId="131" applyNumberFormat="1" applyFont="1" applyBorder="1" applyAlignment="1" applyProtection="1">
      <alignment horizontal="center" vertical="center"/>
    </xf>
    <xf numFmtId="37" fontId="16" fillId="2" borderId="11" xfId="132" applyNumberFormat="1" applyFont="1" applyFill="1" applyBorder="1" applyAlignment="1">
      <alignment horizontal="center" vertical="center"/>
    </xf>
    <xf numFmtId="164" fontId="16" fillId="0" borderId="11" xfId="132" applyNumberFormat="1" applyFont="1" applyFill="1" applyBorder="1" applyAlignment="1">
      <alignment horizontal="center" wrapText="1"/>
    </xf>
    <xf numFmtId="164" fontId="16" fillId="0" borderId="69" xfId="132" applyNumberFormat="1" applyFont="1" applyFill="1" applyBorder="1" applyAlignment="1">
      <alignment vertical="center" wrapText="1"/>
    </xf>
    <xf numFmtId="37" fontId="16" fillId="14" borderId="11" xfId="132" applyNumberFormat="1" applyFont="1" applyFill="1" applyBorder="1" applyAlignment="1">
      <alignment horizontal="center" vertical="center"/>
    </xf>
    <xf numFmtId="1" fontId="16" fillId="0" borderId="11" xfId="131" applyNumberFormat="1" applyFont="1" applyBorder="1" applyAlignment="1" applyProtection="1">
      <alignment horizontal="center"/>
    </xf>
    <xf numFmtId="164" fontId="2" fillId="0" borderId="69" xfId="132" applyNumberFormat="1" applyFont="1" applyBorder="1" applyAlignment="1"/>
    <xf numFmtId="164" fontId="2" fillId="0" borderId="26" xfId="132" applyNumberFormat="1" applyFont="1" applyBorder="1" applyAlignment="1"/>
    <xf numFmtId="164" fontId="11" fillId="0" borderId="40" xfId="132" applyNumberFormat="1" applyFont="1" applyBorder="1"/>
    <xf numFmtId="164" fontId="11" fillId="0" borderId="42" xfId="132" applyNumberFormat="1" applyFont="1" applyBorder="1"/>
    <xf numFmtId="0" fontId="7" fillId="0" borderId="0" xfId="9" applyFont="1" applyAlignment="1" applyProtection="1"/>
    <xf numFmtId="10" fontId="2" fillId="3" borderId="0" xfId="111" applyNumberFormat="1" applyFont="1" applyFill="1"/>
    <xf numFmtId="0" fontId="48" fillId="0" borderId="0" xfId="103" applyFont="1"/>
    <xf numFmtId="186" fontId="48" fillId="0" borderId="0" xfId="132" applyNumberFormat="1" applyFont="1"/>
    <xf numFmtId="4" fontId="15" fillId="0" borderId="35" xfId="103" applyNumberFormat="1" applyFont="1" applyBorder="1" applyAlignment="1">
      <alignment vertical="center"/>
    </xf>
    <xf numFmtId="4" fontId="15" fillId="0" borderId="10" xfId="103" applyNumberFormat="1" applyFont="1" applyBorder="1" applyAlignment="1">
      <alignment vertical="center"/>
    </xf>
    <xf numFmtId="44" fontId="11" fillId="0" borderId="11" xfId="132" applyFont="1" applyBorder="1" applyAlignment="1">
      <alignment horizontal="center"/>
    </xf>
    <xf numFmtId="164" fontId="11" fillId="0" borderId="11" xfId="132" applyNumberFormat="1" applyFont="1" applyFill="1" applyBorder="1"/>
    <xf numFmtId="164" fontId="11" fillId="0" borderId="11" xfId="132" applyNumberFormat="1" applyFont="1" applyBorder="1"/>
    <xf numFmtId="4" fontId="1" fillId="0" borderId="0" xfId="103" applyNumberFormat="1"/>
    <xf numFmtId="44" fontId="11" fillId="0" borderId="0" xfId="132" applyFont="1"/>
    <xf numFmtId="9" fontId="11" fillId="0" borderId="0" xfId="111" applyFont="1"/>
    <xf numFmtId="0" fontId="18" fillId="0" borderId="0" xfId="129" applyFont="1" applyFill="1" applyBorder="1"/>
    <xf numFmtId="164" fontId="11" fillId="0" borderId="0" xfId="132" applyNumberFormat="1" applyFont="1" applyFill="1" applyBorder="1"/>
    <xf numFmtId="0" fontId="24" fillId="0" borderId="0" xfId="129" applyFont="1" applyFill="1" applyBorder="1"/>
    <xf numFmtId="178" fontId="11" fillId="0" borderId="0" xfId="21" applyNumberFormat="1" applyFont="1" applyFill="1" applyBorder="1"/>
    <xf numFmtId="0" fontId="18" fillId="0" borderId="39" xfId="129" applyFont="1" applyFill="1" applyBorder="1"/>
    <xf numFmtId="178" fontId="11" fillId="3" borderId="8" xfId="21" applyNumberFormat="1" applyFont="1" applyFill="1" applyBorder="1"/>
    <xf numFmtId="0" fontId="18" fillId="0" borderId="25" xfId="129" applyFont="1" applyFill="1" applyBorder="1"/>
    <xf numFmtId="178" fontId="11" fillId="3" borderId="12" xfId="21" applyNumberFormat="1" applyFont="1" applyFill="1" applyBorder="1"/>
    <xf numFmtId="178" fontId="11" fillId="0" borderId="12" xfId="21" applyNumberFormat="1" applyFont="1" applyFill="1" applyBorder="1"/>
    <xf numFmtId="178" fontId="1" fillId="0" borderId="0" xfId="21" applyNumberFormat="1" applyFont="1"/>
    <xf numFmtId="0" fontId="18" fillId="0" borderId="40" xfId="129" applyFont="1" applyFill="1" applyBorder="1"/>
    <xf numFmtId="178" fontId="11" fillId="3" borderId="42" xfId="21" applyNumberFormat="1" applyFont="1" applyFill="1" applyBorder="1"/>
    <xf numFmtId="0" fontId="2" fillId="15" borderId="30" xfId="71" applyFont="1" applyFill="1" applyBorder="1" applyAlignment="1">
      <alignment horizontal="center" vertical="center"/>
    </xf>
    <xf numFmtId="0" fontId="2" fillId="15" borderId="3" xfId="71" applyFont="1" applyFill="1" applyBorder="1" applyAlignment="1">
      <alignment horizontal="center" vertical="center"/>
    </xf>
    <xf numFmtId="0" fontId="2" fillId="15" borderId="4" xfId="71" applyFont="1" applyFill="1" applyBorder="1" applyAlignment="1">
      <alignment horizontal="center" vertical="center"/>
    </xf>
    <xf numFmtId="178" fontId="11" fillId="3" borderId="11" xfId="21" applyNumberFormat="1" applyFont="1" applyFill="1" applyBorder="1"/>
    <xf numFmtId="43" fontId="1" fillId="0" borderId="0" xfId="21" applyNumberFormat="1" applyFont="1"/>
    <xf numFmtId="178" fontId="11" fillId="0" borderId="11" xfId="21" applyNumberFormat="1" applyFont="1" applyFill="1" applyBorder="1"/>
    <xf numFmtId="188" fontId="11" fillId="0" borderId="11" xfId="21" applyNumberFormat="1" applyFont="1" applyFill="1" applyBorder="1"/>
    <xf numFmtId="188" fontId="11" fillId="0" borderId="12" xfId="21" applyNumberFormat="1" applyFont="1" applyFill="1" applyBorder="1"/>
    <xf numFmtId="0" fontId="24" fillId="0" borderId="40" xfId="129" applyFont="1" applyFill="1" applyBorder="1"/>
    <xf numFmtId="179" fontId="34" fillId="0" borderId="41" xfId="21" applyNumberFormat="1" applyFont="1" applyBorder="1"/>
    <xf numFmtId="178" fontId="34" fillId="0" borderId="41" xfId="21" applyNumberFormat="1" applyFont="1" applyFill="1" applyBorder="1"/>
    <xf numFmtId="178" fontId="34" fillId="0" borderId="42" xfId="21" applyNumberFormat="1" applyFont="1" applyFill="1" applyBorder="1"/>
    <xf numFmtId="0" fontId="2" fillId="15" borderId="18" xfId="71" applyFont="1" applyFill="1" applyBorder="1" applyAlignment="1">
      <alignment horizontal="center" vertical="center" wrapText="1"/>
    </xf>
    <xf numFmtId="0" fontId="2" fillId="15" borderId="19" xfId="71" applyFont="1" applyFill="1" applyBorder="1" applyAlignment="1">
      <alignment horizontal="center" vertical="center" wrapText="1"/>
    </xf>
    <xf numFmtId="0" fontId="2" fillId="15" borderId="60" xfId="71" applyFont="1" applyFill="1" applyBorder="1" applyAlignment="1">
      <alignment horizontal="center" vertical="center" wrapText="1"/>
    </xf>
    <xf numFmtId="43" fontId="1" fillId="0" borderId="0" xfId="21" applyFont="1"/>
    <xf numFmtId="178" fontId="11" fillId="0" borderId="30" xfId="71" applyNumberFormat="1" applyFill="1" applyBorder="1"/>
    <xf numFmtId="178" fontId="11" fillId="0" borderId="3" xfId="71" applyNumberFormat="1" applyFill="1" applyBorder="1"/>
    <xf numFmtId="178" fontId="11" fillId="0" borderId="4" xfId="71" applyNumberFormat="1" applyFill="1" applyBorder="1"/>
    <xf numFmtId="0" fontId="2" fillId="15" borderId="4" xfId="71" applyFont="1" applyFill="1" applyBorder="1" applyAlignment="1">
      <alignment horizontal="center" vertical="center" wrapText="1"/>
    </xf>
    <xf numFmtId="0" fontId="49" fillId="12" borderId="45" xfId="71" applyFont="1" applyFill="1" applyBorder="1" applyAlignment="1">
      <alignment horizontal="center" vertical="center" wrapText="1"/>
    </xf>
    <xf numFmtId="0" fontId="2" fillId="15" borderId="30" xfId="71" applyFont="1" applyFill="1" applyBorder="1" applyAlignment="1">
      <alignment horizontal="center" vertical="center" wrapText="1"/>
    </xf>
    <xf numFmtId="0" fontId="2" fillId="15" borderId="3" xfId="71" applyFont="1" applyFill="1" applyBorder="1" applyAlignment="1">
      <alignment horizontal="center" vertical="center" wrapText="1"/>
    </xf>
    <xf numFmtId="0" fontId="2" fillId="15" borderId="31" xfId="71" applyFont="1" applyFill="1" applyBorder="1" applyAlignment="1">
      <alignment horizontal="center" vertical="center" wrapText="1"/>
    </xf>
    <xf numFmtId="0" fontId="11" fillId="0" borderId="47" xfId="71" applyBorder="1" applyAlignment="1">
      <alignment horizontal="left"/>
    </xf>
    <xf numFmtId="0" fontId="11" fillId="0" borderId="26" xfId="71" applyNumberFormat="1" applyBorder="1"/>
    <xf numFmtId="0" fontId="11" fillId="0" borderId="27" xfId="71" applyNumberFormat="1" applyBorder="1"/>
    <xf numFmtId="0" fontId="50" fillId="12" borderId="24" xfId="71" applyFont="1" applyFill="1" applyBorder="1" applyAlignment="1">
      <alignment horizontal="right"/>
    </xf>
    <xf numFmtId="0" fontId="11" fillId="0" borderId="47" xfId="71" applyBorder="1"/>
    <xf numFmtId="178" fontId="11" fillId="0" borderId="26" xfId="21" applyNumberFormat="1" applyFont="1" applyBorder="1"/>
    <xf numFmtId="178" fontId="11" fillId="0" borderId="27" xfId="21" applyNumberFormat="1" applyFont="1" applyBorder="1"/>
    <xf numFmtId="178" fontId="11" fillId="0" borderId="50" xfId="21" applyNumberFormat="1" applyFont="1" applyFill="1" applyBorder="1"/>
    <xf numFmtId="179" fontId="11" fillId="0" borderId="47" xfId="71" applyNumberFormat="1" applyBorder="1"/>
    <xf numFmtId="179" fontId="11" fillId="0" borderId="26" xfId="21" applyNumberFormat="1" applyFont="1" applyBorder="1"/>
    <xf numFmtId="179" fontId="11" fillId="0" borderId="27" xfId="21" applyNumberFormat="1" applyFont="1" applyBorder="1"/>
    <xf numFmtId="179" fontId="11" fillId="0" borderId="50" xfId="21" applyNumberFormat="1" applyFont="1" applyFill="1" applyBorder="1"/>
    <xf numFmtId="164" fontId="11" fillId="0" borderId="47" xfId="133" applyNumberFormat="1" applyFont="1" applyBorder="1"/>
    <xf numFmtId="164" fontId="11" fillId="0" borderId="26" xfId="133" applyNumberFormat="1" applyFont="1" applyBorder="1"/>
    <xf numFmtId="164" fontId="11" fillId="0" borderId="27" xfId="133" applyNumberFormat="1" applyFont="1" applyBorder="1"/>
    <xf numFmtId="0" fontId="11" fillId="0" borderId="25" xfId="71" applyBorder="1" applyAlignment="1">
      <alignment horizontal="left"/>
    </xf>
    <xf numFmtId="0" fontId="11" fillId="0" borderId="11" xfId="71" applyNumberFormat="1" applyBorder="1"/>
    <xf numFmtId="0" fontId="11" fillId="0" borderId="12" xfId="71" applyNumberFormat="1" applyBorder="1"/>
    <xf numFmtId="3" fontId="50" fillId="12" borderId="35" xfId="71" applyNumberFormat="1" applyFont="1" applyFill="1" applyBorder="1" applyAlignment="1">
      <alignment horizontal="right"/>
    </xf>
    <xf numFmtId="0" fontId="11" fillId="0" borderId="25" xfId="71" applyBorder="1"/>
    <xf numFmtId="178" fontId="11" fillId="0" borderId="11" xfId="21" applyNumberFormat="1" applyFont="1" applyBorder="1" applyAlignment="1">
      <alignment horizontal="left"/>
    </xf>
    <xf numFmtId="178" fontId="11" fillId="0" borderId="12" xfId="21" applyNumberFormat="1" applyFont="1" applyBorder="1" applyAlignment="1">
      <alignment horizontal="left"/>
    </xf>
    <xf numFmtId="0" fontId="11" fillId="0" borderId="53" xfId="71" applyBorder="1"/>
    <xf numFmtId="179" fontId="11" fillId="0" borderId="11" xfId="21" applyNumberFormat="1" applyFont="1" applyBorder="1" applyAlignment="1">
      <alignment horizontal="left"/>
    </xf>
    <xf numFmtId="179" fontId="11" fillId="0" borderId="12" xfId="21" applyNumberFormat="1" applyFont="1" applyBorder="1" applyAlignment="1">
      <alignment horizontal="left"/>
    </xf>
    <xf numFmtId="179" fontId="11" fillId="0" borderId="53" xfId="21" applyNumberFormat="1" applyFont="1" applyBorder="1"/>
    <xf numFmtId="164" fontId="11" fillId="0" borderId="11" xfId="133" applyNumberFormat="1" applyFont="1" applyBorder="1" applyAlignment="1">
      <alignment horizontal="left"/>
    </xf>
    <xf numFmtId="164" fontId="11" fillId="0" borderId="12" xfId="133" applyNumberFormat="1" applyFont="1" applyBorder="1" applyAlignment="1">
      <alignment horizontal="left"/>
    </xf>
    <xf numFmtId="0" fontId="50" fillId="12" borderId="35" xfId="71" applyFont="1" applyFill="1" applyBorder="1" applyAlignment="1">
      <alignment horizontal="right"/>
    </xf>
    <xf numFmtId="178" fontId="11" fillId="0" borderId="11" xfId="21" applyNumberFormat="1" applyFont="1" applyBorder="1"/>
    <xf numFmtId="178" fontId="11" fillId="0" borderId="12" xfId="21" applyNumberFormat="1" applyFont="1" applyBorder="1"/>
    <xf numFmtId="179" fontId="11" fillId="0" borderId="11" xfId="21" applyNumberFormat="1" applyFont="1" applyBorder="1"/>
    <xf numFmtId="179" fontId="11" fillId="0" borderId="12" xfId="21" applyNumberFormat="1" applyFont="1" applyBorder="1"/>
    <xf numFmtId="164" fontId="11" fillId="0" borderId="11" xfId="133" applyNumberFormat="1" applyFont="1" applyBorder="1"/>
    <xf numFmtId="164" fontId="11" fillId="0" borderId="12" xfId="133" applyNumberFormat="1" applyFont="1" applyBorder="1"/>
    <xf numFmtId="0" fontId="11" fillId="0" borderId="67" xfId="71" applyBorder="1" applyAlignment="1">
      <alignment horizontal="left"/>
    </xf>
    <xf numFmtId="0" fontId="11" fillId="0" borderId="15" xfId="71" applyNumberFormat="1" applyBorder="1"/>
    <xf numFmtId="0" fontId="11" fillId="0" borderId="16" xfId="71" applyNumberFormat="1" applyBorder="1"/>
    <xf numFmtId="0" fontId="50" fillId="12" borderId="43" xfId="71" applyFont="1" applyFill="1" applyBorder="1" applyAlignment="1">
      <alignment horizontal="right"/>
    </xf>
    <xf numFmtId="0" fontId="11" fillId="0" borderId="67" xfId="71" applyBorder="1"/>
    <xf numFmtId="178" fontId="11" fillId="0" borderId="15" xfId="21" applyNumberFormat="1" applyFont="1" applyBorder="1" applyAlignment="1">
      <alignment horizontal="left"/>
    </xf>
    <xf numFmtId="178" fontId="11" fillId="0" borderId="16" xfId="21" applyNumberFormat="1" applyFont="1" applyBorder="1" applyAlignment="1">
      <alignment horizontal="left"/>
    </xf>
    <xf numFmtId="0" fontId="11" fillId="0" borderId="66" xfId="71" applyBorder="1"/>
    <xf numFmtId="179" fontId="11" fillId="0" borderId="51" xfId="71" applyNumberFormat="1" applyBorder="1"/>
    <xf numFmtId="179" fontId="11" fillId="0" borderId="15" xfId="21" applyNumberFormat="1" applyFont="1" applyBorder="1" applyAlignment="1">
      <alignment horizontal="left"/>
    </xf>
    <xf numFmtId="179" fontId="11" fillId="0" borderId="16" xfId="21" applyNumberFormat="1" applyFont="1" applyBorder="1" applyAlignment="1">
      <alignment horizontal="left"/>
    </xf>
    <xf numFmtId="179" fontId="11" fillId="0" borderId="66" xfId="21" applyNumberFormat="1" applyFont="1" applyBorder="1"/>
    <xf numFmtId="164" fontId="11" fillId="0" borderId="51" xfId="133" applyNumberFormat="1" applyFont="1" applyBorder="1"/>
    <xf numFmtId="164" fontId="11" fillId="0" borderId="15" xfId="133" applyNumberFormat="1" applyFont="1" applyBorder="1" applyAlignment="1">
      <alignment horizontal="left"/>
    </xf>
    <xf numFmtId="164" fontId="11" fillId="0" borderId="16" xfId="133" applyNumberFormat="1" applyFont="1" applyBorder="1" applyAlignment="1">
      <alignment horizontal="left"/>
    </xf>
    <xf numFmtId="0" fontId="49" fillId="12" borderId="1" xfId="71" applyFont="1" applyFill="1" applyBorder="1"/>
    <xf numFmtId="0" fontId="49" fillId="12" borderId="31" xfId="71" applyFont="1" applyFill="1" applyBorder="1"/>
    <xf numFmtId="3" fontId="49" fillId="12" borderId="31" xfId="71" applyNumberFormat="1" applyFont="1" applyFill="1" applyBorder="1" applyAlignment="1">
      <alignment horizontal="right"/>
    </xf>
    <xf numFmtId="178" fontId="49" fillId="12" borderId="31" xfId="71" applyNumberFormat="1" applyFont="1" applyFill="1" applyBorder="1"/>
    <xf numFmtId="189" fontId="49" fillId="12" borderId="31" xfId="71" applyNumberFormat="1" applyFont="1" applyFill="1" applyBorder="1"/>
    <xf numFmtId="164" fontId="49" fillId="12" borderId="31" xfId="133" applyNumberFormat="1" applyFont="1" applyFill="1" applyBorder="1"/>
    <xf numFmtId="0" fontId="3" fillId="4" borderId="54" xfId="121" applyFont="1" applyFill="1" applyBorder="1" applyAlignment="1">
      <alignment horizontal="center" vertical="center"/>
    </xf>
    <xf numFmtId="0" fontId="3" fillId="4" borderId="52" xfId="121" applyFont="1" applyFill="1" applyBorder="1" applyAlignment="1">
      <alignment horizontal="center" vertical="center"/>
    </xf>
    <xf numFmtId="164" fontId="0" fillId="0" borderId="53" xfId="54" applyNumberFormat="1" applyFont="1" applyBorder="1" applyAlignment="1">
      <alignment horizontal="center"/>
    </xf>
    <xf numFmtId="173" fontId="9" fillId="0" borderId="24" xfId="85" applyNumberFormat="1" applyFont="1" applyFill="1" applyBorder="1" applyAlignment="1">
      <alignment horizontal="right"/>
    </xf>
    <xf numFmtId="0" fontId="18" fillId="0" borderId="26" xfId="85" applyFont="1" applyFill="1" applyBorder="1" applyAlignment="1">
      <alignment horizontal="left" vertical="top" wrapText="1"/>
    </xf>
    <xf numFmtId="0" fontId="18" fillId="0" borderId="11" xfId="85" applyFont="1" applyFill="1" applyBorder="1" applyAlignment="1">
      <alignment horizontal="left" vertical="top" wrapText="1"/>
    </xf>
    <xf numFmtId="0" fontId="9" fillId="0" borderId="11" xfId="85" applyFont="1" applyFill="1" applyBorder="1" applyAlignment="1">
      <alignment horizontal="left" vertical="top" wrapText="1"/>
    </xf>
    <xf numFmtId="0" fontId="31" fillId="5" borderId="3" xfId="85" applyFont="1" applyFill="1" applyBorder="1" applyAlignment="1">
      <alignment horizontal="center" vertical="center" wrapText="1"/>
    </xf>
    <xf numFmtId="0" fontId="2" fillId="0" borderId="0" xfId="103" applyFont="1" applyAlignment="1">
      <alignment horizontal="center"/>
    </xf>
    <xf numFmtId="0" fontId="16" fillId="2" borderId="25" xfId="131" applyFont="1" applyFill="1" applyBorder="1" applyAlignment="1">
      <alignment vertical="center"/>
    </xf>
    <xf numFmtId="164" fontId="16" fillId="0" borderId="16" xfId="132" applyNumberFormat="1" applyFont="1" applyFill="1" applyBorder="1" applyAlignment="1">
      <alignment vertical="center"/>
    </xf>
    <xf numFmtId="164" fontId="17" fillId="0" borderId="70" xfId="132" applyNumberFormat="1" applyFont="1" applyBorder="1" applyAlignment="1">
      <alignment vertical="center"/>
    </xf>
    <xf numFmtId="164" fontId="17" fillId="0" borderId="27" xfId="132" applyNumberFormat="1" applyFont="1" applyBorder="1" applyAlignment="1">
      <alignment vertical="center"/>
    </xf>
    <xf numFmtId="164" fontId="16" fillId="0" borderId="12" xfId="132" applyNumberFormat="1" applyFont="1" applyFill="1" applyBorder="1" applyAlignment="1">
      <alignment horizontal="center" vertical="center"/>
    </xf>
    <xf numFmtId="164" fontId="16" fillId="0" borderId="12" xfId="132" applyNumberFormat="1" applyFont="1" applyFill="1" applyBorder="1" applyAlignment="1">
      <alignment horizontal="center"/>
    </xf>
    <xf numFmtId="164" fontId="16" fillId="0" borderId="70" xfId="132" applyNumberFormat="1" applyFont="1" applyFill="1" applyBorder="1" applyAlignment="1">
      <alignment vertical="center"/>
    </xf>
    <xf numFmtId="0" fontId="16" fillId="2" borderId="25" xfId="131" applyFont="1" applyFill="1" applyBorder="1" applyAlignment="1">
      <alignment vertical="center" wrapText="1"/>
    </xf>
    <xf numFmtId="164" fontId="16" fillId="0" borderId="27" xfId="132" applyNumberFormat="1" applyFont="1" applyFill="1" applyBorder="1" applyAlignment="1">
      <alignment vertical="center"/>
    </xf>
    <xf numFmtId="164" fontId="16" fillId="0" borderId="16" xfId="132" applyNumberFormat="1" applyFont="1" applyFill="1" applyBorder="1" applyAlignment="1">
      <alignment vertical="center" wrapText="1"/>
    </xf>
    <xf numFmtId="164" fontId="16" fillId="0" borderId="27" xfId="132" applyNumberFormat="1" applyFont="1" applyFill="1" applyBorder="1" applyAlignment="1">
      <alignment vertical="center" wrapText="1"/>
    </xf>
    <xf numFmtId="164" fontId="16" fillId="0" borderId="12" xfId="132" applyNumberFormat="1" applyFont="1" applyFill="1" applyBorder="1" applyAlignment="1">
      <alignment horizontal="center" vertical="center" wrapText="1"/>
    </xf>
    <xf numFmtId="164" fontId="16" fillId="0" borderId="70" xfId="132" applyNumberFormat="1" applyFont="1" applyFill="1" applyBorder="1" applyAlignment="1">
      <alignment vertical="center" wrapText="1"/>
    </xf>
    <xf numFmtId="164" fontId="16" fillId="14" borderId="12" xfId="132" applyNumberFormat="1" applyFont="1" applyFill="1" applyBorder="1" applyAlignment="1">
      <alignment horizontal="center" vertical="center"/>
    </xf>
    <xf numFmtId="164" fontId="11" fillId="0" borderId="70" xfId="132" applyNumberFormat="1" applyFont="1" applyBorder="1" applyAlignment="1"/>
    <xf numFmtId="164" fontId="11" fillId="0" borderId="27" xfId="132" applyNumberFormat="1" applyFont="1" applyBorder="1" applyAlignment="1"/>
    <xf numFmtId="0" fontId="16" fillId="2" borderId="47" xfId="131" applyFont="1" applyFill="1" applyBorder="1" applyAlignment="1">
      <alignment vertical="center"/>
    </xf>
    <xf numFmtId="49" fontId="16" fillId="0" borderId="26" xfId="131" applyNumberFormat="1" applyFont="1" applyBorder="1" applyAlignment="1">
      <alignment horizontal="center" vertical="center"/>
    </xf>
    <xf numFmtId="1" fontId="16" fillId="0" borderId="26" xfId="131" applyNumberFormat="1" applyFont="1" applyBorder="1" applyAlignment="1">
      <alignment horizontal="center"/>
    </xf>
    <xf numFmtId="37" fontId="16" fillId="2" borderId="26" xfId="132" applyNumberFormat="1" applyFont="1" applyFill="1" applyBorder="1" applyAlignment="1">
      <alignment horizontal="center"/>
    </xf>
    <xf numFmtId="0" fontId="19" fillId="13" borderId="30" xfId="131" applyFont="1" applyFill="1" applyBorder="1" applyAlignment="1">
      <alignment horizontal="center" vertical="center" wrapText="1"/>
    </xf>
    <xf numFmtId="0" fontId="19" fillId="13" borderId="3" xfId="131" applyFont="1" applyFill="1" applyBorder="1" applyAlignment="1">
      <alignment horizontal="center" vertical="center" wrapText="1"/>
    </xf>
    <xf numFmtId="3" fontId="19" fillId="13" borderId="3" xfId="131" applyNumberFormat="1" applyFont="1" applyFill="1" applyBorder="1" applyAlignment="1">
      <alignment horizontal="center" vertical="center" wrapText="1"/>
    </xf>
    <xf numFmtId="3" fontId="19" fillId="13" borderId="3" xfId="131" applyNumberFormat="1" applyFont="1" applyFill="1" applyBorder="1" applyAlignment="1">
      <alignment horizontal="center" vertical="center"/>
    </xf>
    <xf numFmtId="3" fontId="46" fillId="13" borderId="4" xfId="131" applyNumberFormat="1" applyFont="1" applyFill="1" applyBorder="1" applyAlignment="1">
      <alignment vertical="center"/>
    </xf>
    <xf numFmtId="49" fontId="2" fillId="0" borderId="0" xfId="103" applyNumberFormat="1" applyFont="1" applyAlignment="1">
      <alignment horizontal="right"/>
    </xf>
    <xf numFmtId="10" fontId="2" fillId="0" borderId="0" xfId="103" applyNumberFormat="1" applyFont="1" applyAlignment="1">
      <alignment horizontal="right"/>
    </xf>
    <xf numFmtId="10" fontId="34" fillId="0" borderId="0" xfId="71" applyNumberFormat="1" applyFont="1"/>
    <xf numFmtId="4" fontId="2" fillId="0" borderId="52" xfId="103" applyNumberFormat="1" applyFont="1" applyBorder="1" applyAlignment="1">
      <alignment vertical="center"/>
    </xf>
    <xf numFmtId="44" fontId="11" fillId="0" borderId="12" xfId="132" applyFont="1" applyBorder="1" applyAlignment="1">
      <alignment horizontal="center"/>
    </xf>
    <xf numFmtId="164" fontId="11" fillId="0" borderId="25" xfId="132" applyNumberFormat="1" applyFont="1" applyFill="1" applyBorder="1"/>
    <xf numFmtId="164" fontId="11" fillId="0" borderId="40" xfId="132" applyNumberFormat="1" applyFont="1" applyFill="1" applyBorder="1"/>
    <xf numFmtId="164" fontId="11" fillId="0" borderId="41" xfId="132" applyNumberFormat="1" applyFont="1" applyFill="1" applyBorder="1"/>
    <xf numFmtId="164" fontId="11" fillId="0" borderId="41" xfId="132" applyNumberFormat="1" applyFont="1" applyBorder="1"/>
    <xf numFmtId="44" fontId="11" fillId="0" borderId="10" xfId="132" applyFont="1" applyBorder="1" applyAlignment="1">
      <alignment horizontal="center"/>
    </xf>
    <xf numFmtId="164" fontId="11" fillId="0" borderId="10" xfId="132" applyNumberFormat="1" applyFont="1" applyBorder="1"/>
    <xf numFmtId="164" fontId="11" fillId="0" borderId="57" xfId="132" applyNumberFormat="1" applyFont="1" applyBorder="1"/>
    <xf numFmtId="164" fontId="11" fillId="0" borderId="12" xfId="132" applyNumberFormat="1" applyFont="1" applyFill="1" applyBorder="1"/>
    <xf numFmtId="164" fontId="11" fillId="0" borderId="42" xfId="132" applyNumberFormat="1" applyFont="1" applyFill="1" applyBorder="1"/>
    <xf numFmtId="4" fontId="15" fillId="0" borderId="61" xfId="103" applyNumberFormat="1" applyFont="1" applyBorder="1" applyAlignment="1">
      <alignment vertical="center"/>
    </xf>
    <xf numFmtId="4" fontId="15" fillId="0" borderId="43" xfId="103" applyNumberFormat="1" applyFont="1" applyBorder="1" applyAlignment="1">
      <alignment vertical="center"/>
    </xf>
    <xf numFmtId="4" fontId="15" fillId="0" borderId="14" xfId="103" applyNumberFormat="1" applyFont="1" applyBorder="1" applyAlignment="1">
      <alignment vertical="center"/>
    </xf>
    <xf numFmtId="44" fontId="11" fillId="0" borderId="14" xfId="132" applyFont="1" applyBorder="1" applyAlignment="1">
      <alignment horizontal="center"/>
    </xf>
    <xf numFmtId="44" fontId="11" fillId="0" borderId="15" xfId="132" applyFont="1" applyBorder="1" applyAlignment="1">
      <alignment horizontal="center"/>
    </xf>
    <xf numFmtId="44" fontId="11" fillId="0" borderId="16" xfId="132" applyFont="1" applyBorder="1" applyAlignment="1">
      <alignment horizontal="center"/>
    </xf>
    <xf numFmtId="164" fontId="11" fillId="0" borderId="47" xfId="132" applyNumberFormat="1" applyFont="1" applyFill="1" applyBorder="1"/>
    <xf numFmtId="164" fontId="11" fillId="0" borderId="26" xfId="132" applyNumberFormat="1" applyFont="1" applyFill="1" applyBorder="1"/>
    <xf numFmtId="164" fontId="11" fillId="0" borderId="27" xfId="132" applyNumberFormat="1" applyFont="1" applyFill="1" applyBorder="1"/>
    <xf numFmtId="164" fontId="11" fillId="0" borderId="44" xfId="132" applyNumberFormat="1" applyFont="1" applyBorder="1"/>
    <xf numFmtId="164" fontId="11" fillId="0" borderId="26" xfId="132" applyNumberFormat="1" applyFont="1" applyBorder="1"/>
    <xf numFmtId="0" fontId="18" fillId="0" borderId="23" xfId="129" applyFont="1" applyFill="1" applyBorder="1"/>
    <xf numFmtId="0" fontId="18" fillId="0" borderId="9" xfId="129" applyFont="1" applyFill="1" applyBorder="1"/>
    <xf numFmtId="0" fontId="18" fillId="0" borderId="36" xfId="129" applyFont="1" applyFill="1" applyBorder="1"/>
    <xf numFmtId="187" fontId="2" fillId="16" borderId="1" xfId="103" applyNumberFormat="1" applyFont="1" applyFill="1" applyBorder="1" applyAlignment="1">
      <alignment horizontal="center" vertical="center" wrapText="1"/>
    </xf>
    <xf numFmtId="4" fontId="2" fillId="16" borderId="30" xfId="103" applyNumberFormat="1" applyFont="1" applyFill="1" applyBorder="1" applyAlignment="1">
      <alignment horizontal="center" vertical="center" wrapText="1"/>
    </xf>
    <xf numFmtId="4" fontId="2" fillId="16" borderId="3" xfId="103" applyNumberFormat="1" applyFont="1" applyFill="1" applyBorder="1" applyAlignment="1">
      <alignment horizontal="center" vertical="center" wrapText="1"/>
    </xf>
    <xf numFmtId="4" fontId="2" fillId="16" borderId="4" xfId="103" applyNumberFormat="1" applyFont="1" applyFill="1" applyBorder="1" applyAlignment="1">
      <alignment horizontal="center" vertical="center" wrapText="1"/>
    </xf>
    <xf numFmtId="4" fontId="2" fillId="16" borderId="2" xfId="103" applyNumberFormat="1" applyFont="1" applyFill="1" applyBorder="1" applyAlignment="1">
      <alignment horizontal="center" vertical="center" wrapText="1"/>
    </xf>
    <xf numFmtId="4" fontId="2" fillId="16" borderId="1" xfId="103" applyNumberFormat="1" applyFont="1" applyFill="1" applyBorder="1" applyAlignment="1">
      <alignment horizontal="center" vertical="center" wrapText="1"/>
    </xf>
    <xf numFmtId="187" fontId="2" fillId="16" borderId="30" xfId="103" applyNumberFormat="1" applyFont="1" applyFill="1" applyBorder="1" applyAlignment="1">
      <alignment horizontal="center" vertical="center" wrapText="1"/>
    </xf>
    <xf numFmtId="164" fontId="11" fillId="0" borderId="7" xfId="132" applyNumberFormat="1" applyFont="1" applyFill="1" applyBorder="1"/>
    <xf numFmtId="164" fontId="11" fillId="0" borderId="8" xfId="132" applyNumberFormat="1" applyFont="1" applyFill="1" applyBorder="1"/>
    <xf numFmtId="164" fontId="18" fillId="4" borderId="23" xfId="3" applyNumberFormat="1" applyFont="1" applyFill="1" applyBorder="1"/>
    <xf numFmtId="164" fontId="18" fillId="4" borderId="9" xfId="3" applyNumberFormat="1" applyFont="1" applyFill="1" applyBorder="1"/>
    <xf numFmtId="164" fontId="18" fillId="4" borderId="36" xfId="3" applyNumberFormat="1" applyFont="1" applyFill="1" applyBorder="1"/>
    <xf numFmtId="4" fontId="2" fillId="0" borderId="49" xfId="103" applyNumberFormat="1" applyFont="1" applyBorder="1" applyAlignment="1">
      <alignment vertical="center"/>
    </xf>
    <xf numFmtId="4" fontId="15" fillId="0" borderId="24" xfId="103" applyNumberFormat="1" applyFont="1" applyBorder="1" applyAlignment="1">
      <alignment vertical="center"/>
    </xf>
    <xf numFmtId="4" fontId="15" fillId="0" borderId="44" xfId="103" applyNumberFormat="1" applyFont="1" applyBorder="1" applyAlignment="1">
      <alignment vertical="center"/>
    </xf>
    <xf numFmtId="44" fontId="11" fillId="0" borderId="44" xfId="132" applyFont="1" applyBorder="1" applyAlignment="1">
      <alignment horizontal="center"/>
    </xf>
    <xf numFmtId="44" fontId="11" fillId="0" borderId="26" xfId="132" applyFont="1" applyBorder="1" applyAlignment="1">
      <alignment horizontal="center"/>
    </xf>
    <xf numFmtId="44" fontId="11" fillId="0" borderId="27" xfId="132" applyFont="1" applyBorder="1" applyAlignment="1">
      <alignment horizontal="center"/>
    </xf>
    <xf numFmtId="185" fontId="2" fillId="0" borderId="30" xfId="103" applyNumberFormat="1" applyFont="1" applyBorder="1" applyAlignment="1">
      <alignment horizontal="right"/>
    </xf>
    <xf numFmtId="185" fontId="2" fillId="0" borderId="3" xfId="103" applyNumberFormat="1" applyFont="1" applyBorder="1" applyAlignment="1">
      <alignment horizontal="center"/>
    </xf>
    <xf numFmtId="185" fontId="2" fillId="0" borderId="4" xfId="103" applyNumberFormat="1" applyFont="1" applyBorder="1" applyAlignment="1">
      <alignment horizontal="center"/>
    </xf>
    <xf numFmtId="0" fontId="2" fillId="0" borderId="3" xfId="103" applyFont="1" applyBorder="1" applyAlignment="1">
      <alignment horizontal="center" vertical="center"/>
    </xf>
    <xf numFmtId="164" fontId="9" fillId="0" borderId="27" xfId="132" applyNumberFormat="1" applyFont="1" applyBorder="1" applyAlignment="1">
      <alignment horizontal="left"/>
    </xf>
    <xf numFmtId="164" fontId="9" fillId="0" borderId="12" xfId="132" applyNumberFormat="1" applyFont="1" applyBorder="1" applyAlignment="1">
      <alignment horizontal="left"/>
    </xf>
    <xf numFmtId="0" fontId="1" fillId="0" borderId="11" xfId="1" applyFont="1" applyFill="1" applyBorder="1" applyAlignment="1" applyProtection="1">
      <alignment horizontal="left"/>
    </xf>
    <xf numFmtId="0" fontId="27" fillId="0" borderId="11" xfId="0" applyNumberFormat="1" applyFont="1" applyFill="1" applyBorder="1" applyAlignment="1" applyProtection="1">
      <alignment horizontal="left"/>
    </xf>
    <xf numFmtId="0" fontId="26" fillId="0" borderId="11" xfId="1" applyNumberFormat="1" applyFont="1" applyFill="1" applyBorder="1" applyAlignment="1" applyProtection="1">
      <alignment horizontal="left"/>
    </xf>
    <xf numFmtId="0" fontId="27" fillId="0" borderId="15" xfId="0" applyNumberFormat="1" applyFont="1" applyFill="1" applyBorder="1" applyAlignment="1" applyProtection="1">
      <alignment horizontal="left"/>
    </xf>
    <xf numFmtId="0" fontId="27" fillId="0" borderId="15" xfId="0" applyFont="1" applyFill="1" applyBorder="1" applyAlignment="1" applyProtection="1">
      <alignment horizontal="center"/>
    </xf>
    <xf numFmtId="43" fontId="27" fillId="7" borderId="15" xfId="2" applyFont="1" applyFill="1" applyBorder="1" applyAlignment="1" applyProtection="1">
      <alignment horizontal="center" vertical="center" wrapText="1"/>
    </xf>
    <xf numFmtId="164" fontId="27" fillId="0" borderId="15" xfId="3" applyNumberFormat="1" applyFont="1" applyFill="1" applyBorder="1" applyProtection="1"/>
    <xf numFmtId="0" fontId="27" fillId="0" borderId="26" xfId="0" applyNumberFormat="1" applyFont="1" applyFill="1" applyBorder="1" applyAlignment="1" applyProtection="1">
      <alignment horizontal="left"/>
    </xf>
    <xf numFmtId="0" fontId="27" fillId="0" borderId="26" xfId="0" applyFont="1" applyFill="1" applyBorder="1" applyAlignment="1" applyProtection="1">
      <alignment horizontal="center"/>
    </xf>
    <xf numFmtId="43" fontId="27" fillId="7" borderId="26" xfId="2" applyFont="1" applyFill="1" applyBorder="1" applyAlignment="1" applyProtection="1">
      <alignment horizontal="center" vertical="center" wrapText="1"/>
    </xf>
    <xf numFmtId="164" fontId="27" fillId="0" borderId="26" xfId="3" applyNumberFormat="1" applyFont="1" applyFill="1" applyBorder="1" applyProtection="1"/>
    <xf numFmtId="0" fontId="27" fillId="0" borderId="69" xfId="0" applyNumberFormat="1" applyFont="1" applyFill="1" applyBorder="1" applyAlignment="1" applyProtection="1">
      <alignment horizontal="left"/>
    </xf>
    <xf numFmtId="0" fontId="27" fillId="0" borderId="69" xfId="0" applyFont="1" applyFill="1" applyBorder="1" applyAlignment="1" applyProtection="1">
      <alignment horizontal="center"/>
    </xf>
    <xf numFmtId="43" fontId="27" fillId="7" borderId="69" xfId="2" applyFont="1" applyFill="1" applyBorder="1" applyAlignment="1" applyProtection="1">
      <alignment horizontal="center" vertical="center" wrapText="1"/>
    </xf>
    <xf numFmtId="164" fontId="27" fillId="0" borderId="69" xfId="3" applyNumberFormat="1" applyFont="1" applyFill="1" applyBorder="1" applyProtection="1"/>
    <xf numFmtId="0" fontId="52" fillId="0" borderId="11" xfId="1" applyNumberFormat="1" applyFont="1" applyFill="1" applyBorder="1" applyAlignment="1" applyProtection="1">
      <alignment horizontal="left"/>
    </xf>
    <xf numFmtId="0" fontId="52" fillId="0" borderId="11" xfId="1" applyFont="1" applyFill="1" applyBorder="1" applyProtection="1"/>
    <xf numFmtId="178" fontId="52" fillId="0" borderId="11" xfId="1" applyNumberFormat="1" applyFont="1" applyFill="1" applyBorder="1" applyAlignment="1" applyProtection="1">
      <alignment horizontal="center" vertical="center" wrapText="1"/>
    </xf>
    <xf numFmtId="43" fontId="52" fillId="7" borderId="11" xfId="1" applyNumberFormat="1" applyFont="1" applyFill="1" applyBorder="1" applyAlignment="1" applyProtection="1">
      <alignment horizontal="center" vertical="center" wrapText="1"/>
    </xf>
    <xf numFmtId="43" fontId="52" fillId="0" borderId="11" xfId="1" applyNumberFormat="1" applyFont="1" applyFill="1" applyBorder="1" applyAlignment="1" applyProtection="1">
      <alignment horizontal="center" vertical="center" wrapText="1"/>
    </xf>
    <xf numFmtId="164" fontId="52" fillId="0" borderId="11" xfId="3" applyNumberFormat="1" applyFont="1" applyFill="1" applyBorder="1" applyAlignment="1" applyProtection="1">
      <alignment horizontal="center" vertical="center" wrapText="1"/>
    </xf>
    <xf numFmtId="164" fontId="52" fillId="0" borderId="11" xfId="1" applyNumberFormat="1" applyFont="1" applyFill="1" applyBorder="1" applyAlignment="1" applyProtection="1">
      <alignment horizontal="center" vertical="center" wrapText="1"/>
    </xf>
    <xf numFmtId="0" fontId="52" fillId="0" borderId="0" xfId="1" applyFont="1" applyFill="1" applyProtection="1"/>
    <xf numFmtId="164" fontId="52" fillId="0" borderId="26" xfId="3" applyNumberFormat="1" applyFont="1" applyFill="1" applyBorder="1" applyAlignment="1" applyProtection="1">
      <alignment horizontal="center" vertical="center" wrapText="1"/>
    </xf>
    <xf numFmtId="43" fontId="52" fillId="0" borderId="26" xfId="1" applyNumberFormat="1" applyFont="1" applyFill="1" applyBorder="1" applyAlignment="1" applyProtection="1">
      <alignment horizontal="center" vertical="center" wrapText="1"/>
    </xf>
    <xf numFmtId="164" fontId="52" fillId="0" borderId="15" xfId="3" applyNumberFormat="1" applyFont="1" applyFill="1" applyBorder="1" applyAlignment="1" applyProtection="1">
      <alignment horizontal="center" vertical="center" wrapText="1"/>
    </xf>
    <xf numFmtId="43" fontId="52" fillId="0" borderId="15" xfId="1" applyNumberFormat="1" applyFont="1" applyFill="1" applyBorder="1" applyAlignment="1" applyProtection="1">
      <alignment horizontal="center" vertical="center" wrapText="1"/>
    </xf>
    <xf numFmtId="164" fontId="52" fillId="0" borderId="69" xfId="3" applyNumberFormat="1" applyFont="1" applyFill="1" applyBorder="1" applyAlignment="1" applyProtection="1">
      <alignment horizontal="center" vertical="center" wrapText="1"/>
    </xf>
    <xf numFmtId="43" fontId="52" fillId="0" borderId="69" xfId="1" applyNumberFormat="1" applyFont="1" applyFill="1" applyBorder="1" applyAlignment="1" applyProtection="1">
      <alignment horizontal="center" vertical="center" wrapText="1"/>
    </xf>
    <xf numFmtId="0" fontId="23" fillId="0" borderId="11" xfId="0" applyFont="1" applyBorder="1"/>
    <xf numFmtId="0" fontId="23" fillId="0" borderId="11" xfId="0" applyFont="1" applyBorder="1" applyAlignment="1">
      <alignment horizontal="right"/>
    </xf>
    <xf numFmtId="0" fontId="23" fillId="0" borderId="25" xfId="0" applyFont="1" applyBorder="1"/>
    <xf numFmtId="0" fontId="23" fillId="0" borderId="12" xfId="0" applyFont="1" applyBorder="1"/>
    <xf numFmtId="0" fontId="23" fillId="3" borderId="25" xfId="0" applyFont="1" applyFill="1" applyBorder="1"/>
    <xf numFmtId="0" fontId="0" fillId="0" borderId="25" xfId="0" applyFill="1" applyBorder="1" applyAlignment="1" applyProtection="1">
      <alignment wrapText="1"/>
    </xf>
    <xf numFmtId="0" fontId="23" fillId="0" borderId="40" xfId="0" applyFont="1" applyBorder="1"/>
    <xf numFmtId="0" fontId="23" fillId="0" borderId="41" xfId="0" applyFont="1" applyBorder="1" applyAlignment="1">
      <alignment horizontal="right"/>
    </xf>
    <xf numFmtId="0" fontId="23" fillId="0" borderId="41" xfId="0" applyFont="1" applyBorder="1"/>
    <xf numFmtId="0" fontId="23" fillId="0" borderId="42" xfId="0" applyFont="1" applyBorder="1"/>
    <xf numFmtId="0" fontId="23" fillId="0" borderId="47" xfId="0" applyFont="1" applyBorder="1"/>
    <xf numFmtId="0" fontId="23" fillId="0" borderId="26" xfId="0" applyFont="1" applyBorder="1" applyAlignment="1">
      <alignment horizontal="right"/>
    </xf>
    <xf numFmtId="0" fontId="23" fillId="0" borderId="26" xfId="0" applyFont="1" applyBorder="1"/>
    <xf numFmtId="0" fontId="23" fillId="0" borderId="27" xfId="0" applyFont="1" applyBorder="1"/>
    <xf numFmtId="0" fontId="53" fillId="8" borderId="30" xfId="0" applyFont="1" applyFill="1" applyBorder="1" applyAlignment="1">
      <alignment horizontal="center"/>
    </xf>
    <xf numFmtId="0" fontId="53" fillId="8" borderId="3" xfId="0" applyFont="1" applyFill="1" applyBorder="1" applyAlignment="1">
      <alignment horizontal="center" wrapText="1"/>
    </xf>
    <xf numFmtId="0" fontId="53" fillId="8" borderId="3" xfId="0" applyFont="1" applyFill="1" applyBorder="1" applyAlignment="1">
      <alignment horizontal="center"/>
    </xf>
    <xf numFmtId="0" fontId="53" fillId="8" borderId="4" xfId="0" applyFont="1" applyFill="1" applyBorder="1" applyAlignment="1">
      <alignment horizontal="center"/>
    </xf>
    <xf numFmtId="164" fontId="54" fillId="0" borderId="11" xfId="1" applyNumberFormat="1" applyFont="1" applyFill="1" applyBorder="1" applyAlignment="1" applyProtection="1">
      <alignment horizontal="center" vertical="center" wrapText="1"/>
    </xf>
    <xf numFmtId="178" fontId="55" fillId="0" borderId="0" xfId="2" applyNumberFormat="1" applyFont="1"/>
    <xf numFmtId="164" fontId="0" fillId="0" borderId="65" xfId="54" applyNumberFormat="1" applyFont="1" applyBorder="1" applyAlignment="1">
      <alignment horizontal="center"/>
    </xf>
    <xf numFmtId="0" fontId="31" fillId="0" borderId="33" xfId="85" applyFont="1" applyBorder="1" applyAlignment="1" applyProtection="1">
      <alignment horizontal="right"/>
      <protection locked="0"/>
    </xf>
    <xf numFmtId="0" fontId="31" fillId="0" borderId="58" xfId="85" applyFont="1" applyBorder="1" applyAlignment="1" applyProtection="1">
      <alignment horizontal="right"/>
      <protection locked="0"/>
    </xf>
    <xf numFmtId="0" fontId="9" fillId="0" borderId="58" xfId="85" applyFont="1" applyBorder="1" applyAlignment="1" applyProtection="1">
      <alignment horizontal="center" vertical="center"/>
      <protection locked="0"/>
    </xf>
    <xf numFmtId="0" fontId="9" fillId="0" borderId="68" xfId="85" applyFont="1" applyBorder="1" applyAlignment="1" applyProtection="1">
      <alignment horizontal="center" vertical="center"/>
      <protection locked="0"/>
    </xf>
    <xf numFmtId="0" fontId="31" fillId="0" borderId="32" xfId="85" applyFont="1" applyBorder="1" applyAlignment="1" applyProtection="1">
      <alignment horizontal="right"/>
      <protection locked="0"/>
    </xf>
    <xf numFmtId="0" fontId="31" fillId="0" borderId="71" xfId="85" applyFont="1" applyBorder="1" applyAlignment="1" applyProtection="1">
      <alignment horizontal="center" vertical="center" wrapText="1"/>
      <protection locked="0"/>
    </xf>
    <xf numFmtId="0" fontId="9" fillId="4" borderId="71" xfId="85" applyFont="1" applyFill="1" applyBorder="1"/>
    <xf numFmtId="0" fontId="31" fillId="0" borderId="62" xfId="85" applyFont="1" applyBorder="1" applyAlignment="1" applyProtection="1">
      <alignment horizontal="right"/>
      <protection locked="0"/>
    </xf>
    <xf numFmtId="0" fontId="31" fillId="0" borderId="63" xfId="85" applyFont="1" applyBorder="1" applyAlignment="1" applyProtection="1">
      <alignment horizontal="right"/>
      <protection locked="0"/>
    </xf>
    <xf numFmtId="0" fontId="9" fillId="4" borderId="63" xfId="85" applyFont="1" applyFill="1" applyBorder="1"/>
    <xf numFmtId="0" fontId="9" fillId="4" borderId="38" xfId="85" applyFont="1" applyFill="1" applyBorder="1"/>
    <xf numFmtId="164" fontId="0" fillId="0" borderId="5" xfId="54" applyNumberFormat="1" applyFont="1" applyBorder="1" applyAlignment="1">
      <alignment horizontal="center"/>
    </xf>
    <xf numFmtId="164" fontId="0" fillId="0" borderId="9" xfId="54" applyNumberFormat="1" applyFont="1" applyBorder="1" applyAlignment="1">
      <alignment horizontal="center"/>
    </xf>
    <xf numFmtId="164" fontId="0" fillId="0" borderId="36" xfId="54" applyNumberFormat="1" applyFont="1" applyBorder="1" applyAlignment="1">
      <alignment horizontal="center"/>
    </xf>
    <xf numFmtId="164" fontId="31" fillId="11" borderId="1" xfId="54" applyNumberFormat="1" applyFont="1" applyFill="1" applyBorder="1" applyAlignment="1">
      <alignment horizontal="center"/>
    </xf>
    <xf numFmtId="164" fontId="0" fillId="0" borderId="23" xfId="54" applyNumberFormat="1" applyFont="1" applyBorder="1" applyAlignment="1">
      <alignment horizontal="center"/>
    </xf>
    <xf numFmtId="164" fontId="26" fillId="0" borderId="11" xfId="3" applyNumberFormat="1" applyFont="1" applyFill="1" applyBorder="1" applyProtection="1"/>
    <xf numFmtId="178" fontId="9" fillId="0" borderId="0" xfId="85" applyNumberFormat="1" applyFont="1"/>
    <xf numFmtId="178" fontId="9" fillId="0" borderId="49" xfId="2" applyNumberFormat="1" applyFont="1" applyFill="1" applyBorder="1" applyAlignment="1">
      <alignment horizontal="right"/>
    </xf>
    <xf numFmtId="173" fontId="9" fillId="0" borderId="50" xfId="85" applyNumberFormat="1" applyFont="1" applyFill="1" applyBorder="1" applyAlignment="1">
      <alignment horizontal="right"/>
    </xf>
    <xf numFmtId="178" fontId="9" fillId="0" borderId="62" xfId="2" applyNumberFormat="1" applyFont="1" applyFill="1" applyBorder="1" applyAlignment="1">
      <alignment horizontal="right"/>
    </xf>
    <xf numFmtId="178" fontId="9" fillId="0" borderId="23" xfId="2" applyNumberFormat="1" applyFont="1" applyFill="1" applyBorder="1" applyAlignment="1">
      <alignment horizontal="right"/>
    </xf>
    <xf numFmtId="178" fontId="9" fillId="0" borderId="20" xfId="2" applyNumberFormat="1" applyFont="1" applyFill="1" applyBorder="1" applyAlignment="1">
      <alignment horizontal="right"/>
    </xf>
    <xf numFmtId="0" fontId="18" fillId="0" borderId="49" xfId="85" applyFont="1" applyFill="1" applyBorder="1" applyAlignment="1">
      <alignment horizontal="left" vertical="top" wrapText="1" indent="3"/>
    </xf>
    <xf numFmtId="0" fontId="18" fillId="0" borderId="62" xfId="85" applyFont="1" applyFill="1" applyBorder="1" applyAlignment="1">
      <alignment horizontal="left" vertical="top" wrapText="1" indent="3"/>
    </xf>
    <xf numFmtId="173" fontId="9" fillId="0" borderId="63" xfId="85" applyNumberFormat="1" applyFont="1" applyFill="1" applyBorder="1" applyAlignment="1">
      <alignment horizontal="right"/>
    </xf>
    <xf numFmtId="164" fontId="0" fillId="0" borderId="20" xfId="54" applyNumberFormat="1" applyFont="1" applyBorder="1" applyAlignment="1">
      <alignment horizontal="center"/>
    </xf>
    <xf numFmtId="164" fontId="9" fillId="0" borderId="50" xfId="3" applyNumberFormat="1" applyFont="1" applyFill="1" applyBorder="1" applyAlignment="1">
      <alignment horizontal="right"/>
    </xf>
    <xf numFmtId="164" fontId="9" fillId="0" borderId="38" xfId="3" applyNumberFormat="1" applyFont="1" applyFill="1" applyBorder="1" applyAlignment="1">
      <alignment horizontal="right"/>
    </xf>
    <xf numFmtId="178" fontId="9" fillId="0" borderId="29" xfId="2" applyNumberFormat="1" applyFont="1" applyFill="1" applyBorder="1" applyAlignment="1">
      <alignment horizontal="right"/>
    </xf>
    <xf numFmtId="173" fontId="24" fillId="0" borderId="31" xfId="85" applyNumberFormat="1" applyFont="1" applyFill="1" applyBorder="1" applyAlignment="1">
      <alignment vertical="top" wrapText="1"/>
    </xf>
    <xf numFmtId="164" fontId="2" fillId="0" borderId="1" xfId="54" applyNumberFormat="1" applyFont="1" applyBorder="1" applyAlignment="1">
      <alignment horizontal="center"/>
    </xf>
    <xf numFmtId="178" fontId="31" fillId="0" borderId="1" xfId="2" applyNumberFormat="1" applyFont="1" applyFill="1" applyBorder="1" applyAlignment="1">
      <alignment horizontal="right"/>
    </xf>
    <xf numFmtId="173" fontId="9" fillId="0" borderId="0" xfId="85" applyNumberFormat="1" applyFont="1" applyFill="1" applyBorder="1" applyAlignment="1">
      <alignment horizontal="right"/>
    </xf>
    <xf numFmtId="0" fontId="18" fillId="0" borderId="64" xfId="85" applyFont="1" applyFill="1" applyBorder="1" applyAlignment="1">
      <alignment horizontal="left" vertical="top" wrapText="1" indent="3"/>
    </xf>
    <xf numFmtId="173" fontId="9" fillId="0" borderId="34" xfId="85" applyNumberFormat="1" applyFont="1" applyFill="1" applyBorder="1" applyAlignment="1">
      <alignment horizontal="right"/>
    </xf>
    <xf numFmtId="173" fontId="9" fillId="0" borderId="65" xfId="85" applyNumberFormat="1" applyFont="1" applyFill="1" applyBorder="1" applyAlignment="1">
      <alignment horizontal="right"/>
    </xf>
    <xf numFmtId="164" fontId="0" fillId="0" borderId="72" xfId="54" applyNumberFormat="1" applyFont="1" applyBorder="1" applyAlignment="1">
      <alignment horizontal="center"/>
    </xf>
    <xf numFmtId="164" fontId="31" fillId="11" borderId="20" xfId="54" applyNumberFormat="1" applyFont="1" applyFill="1" applyBorder="1" applyAlignment="1">
      <alignment horizontal="center"/>
    </xf>
    <xf numFmtId="0" fontId="18" fillId="0" borderId="32" xfId="85" applyFont="1" applyFill="1" applyBorder="1" applyAlignment="1">
      <alignment horizontal="left" vertical="top" wrapText="1" indent="3"/>
    </xf>
    <xf numFmtId="173" fontId="9" fillId="0" borderId="71" xfId="85" applyNumberFormat="1" applyFont="1" applyFill="1" applyBorder="1" applyAlignment="1">
      <alignment horizontal="right"/>
    </xf>
    <xf numFmtId="0" fontId="31" fillId="5" borderId="19" xfId="85" applyFont="1" applyFill="1" applyBorder="1" applyAlignment="1">
      <alignment horizontal="center" vertical="center" wrapText="1"/>
    </xf>
    <xf numFmtId="0" fontId="31" fillId="5" borderId="60" xfId="85" applyFont="1" applyFill="1" applyBorder="1" applyAlignment="1">
      <alignment horizontal="center" vertical="center" wrapText="1"/>
    </xf>
    <xf numFmtId="0" fontId="9" fillId="0" borderId="6" xfId="85" applyFont="1" applyBorder="1"/>
    <xf numFmtId="164" fontId="31" fillId="0" borderId="1" xfId="85" applyNumberFormat="1" applyFont="1" applyBorder="1" applyAlignment="1">
      <alignment horizontal="center"/>
    </xf>
    <xf numFmtId="164" fontId="3" fillId="0" borderId="9" xfId="54" applyNumberFormat="1" applyFont="1" applyFill="1" applyBorder="1" applyAlignment="1">
      <alignment horizontal="center" vertical="center" wrapText="1"/>
    </xf>
    <xf numFmtId="164" fontId="3" fillId="0" borderId="36" xfId="54" applyNumberFormat="1" applyFont="1" applyFill="1" applyBorder="1" applyAlignment="1">
      <alignment horizontal="center" vertical="center" wrapText="1"/>
    </xf>
    <xf numFmtId="0" fontId="3" fillId="4" borderId="49" xfId="121" applyFont="1" applyFill="1" applyBorder="1" applyAlignment="1">
      <alignment horizontal="center" vertical="center"/>
    </xf>
    <xf numFmtId="9" fontId="3" fillId="4" borderId="26" xfId="122" applyNumberFormat="1" applyFont="1" applyFill="1" applyBorder="1" applyAlignment="1">
      <alignment horizontal="center" vertical="center"/>
    </xf>
    <xf numFmtId="164" fontId="3" fillId="4" borderId="28" xfId="54" applyNumberFormat="1" applyFont="1" applyFill="1" applyBorder="1" applyAlignment="1">
      <alignment horizontal="center" vertical="center" wrapText="1"/>
    </xf>
    <xf numFmtId="10" fontId="37" fillId="7" borderId="26" xfId="118" applyNumberFormat="1" applyFont="1" applyFill="1" applyBorder="1" applyAlignment="1">
      <alignment horizontal="center" vertical="center" wrapText="1"/>
    </xf>
    <xf numFmtId="182" fontId="37" fillId="0" borderId="28" xfId="121" applyNumberFormat="1" applyFont="1" applyFill="1" applyBorder="1" applyAlignment="1">
      <alignment horizontal="right" vertical="center" wrapText="1"/>
    </xf>
    <xf numFmtId="164" fontId="3" fillId="0" borderId="23" xfId="54" applyNumberFormat="1" applyFont="1" applyFill="1" applyBorder="1" applyAlignment="1">
      <alignment horizontal="center" vertical="center" wrapText="1"/>
    </xf>
    <xf numFmtId="0" fontId="36" fillId="5" borderId="29" xfId="121" applyFont="1" applyFill="1" applyBorder="1" applyAlignment="1">
      <alignment horizontal="center" vertical="center" wrapText="1"/>
    </xf>
    <xf numFmtId="0" fontId="36" fillId="5" borderId="3" xfId="121" applyFont="1" applyFill="1" applyBorder="1" applyAlignment="1">
      <alignment horizontal="center" vertical="center" wrapText="1"/>
    </xf>
    <xf numFmtId="0" fontId="36" fillId="9" borderId="3" xfId="121" applyFont="1" applyFill="1" applyBorder="1" applyAlignment="1">
      <alignment horizontal="center" vertical="center" wrapText="1"/>
    </xf>
    <xf numFmtId="0" fontId="36" fillId="9" borderId="48" xfId="121" applyFont="1" applyFill="1" applyBorder="1" applyAlignment="1">
      <alignment horizontal="center" vertical="center" wrapText="1"/>
    </xf>
    <xf numFmtId="0" fontId="36" fillId="9" borderId="1" xfId="121" applyFont="1" applyFill="1" applyBorder="1" applyAlignment="1">
      <alignment horizontal="center" vertical="center" wrapText="1"/>
    </xf>
    <xf numFmtId="0" fontId="31" fillId="5" borderId="68" xfId="85" applyFont="1" applyFill="1" applyBorder="1" applyAlignment="1">
      <alignment horizontal="center" vertical="center" wrapText="1"/>
    </xf>
    <xf numFmtId="0" fontId="31" fillId="0" borderId="4" xfId="120" applyNumberFormat="1" applyFont="1" applyFill="1" applyBorder="1" applyAlignment="1">
      <alignment horizontal="center" vertical="center"/>
    </xf>
    <xf numFmtId="178" fontId="12" fillId="12" borderId="6" xfId="85" applyNumberFormat="1" applyFont="1" applyFill="1" applyBorder="1" applyAlignment="1">
      <alignment horizontal="center" vertical="center" wrapText="1"/>
    </xf>
    <xf numFmtId="44" fontId="37" fillId="0" borderId="8" xfId="3" applyFont="1" applyFill="1" applyBorder="1" applyAlignment="1">
      <alignment horizontal="center" vertical="center" wrapText="1"/>
    </xf>
    <xf numFmtId="44" fontId="37" fillId="0" borderId="12" xfId="3" applyFont="1" applyFill="1" applyBorder="1" applyAlignment="1">
      <alignment horizontal="center" vertical="center" wrapText="1"/>
    </xf>
    <xf numFmtId="178" fontId="12" fillId="12" borderId="11" xfId="85" applyNumberFormat="1" applyFont="1" applyFill="1" applyBorder="1" applyAlignment="1">
      <alignment horizontal="center" vertical="center" wrapText="1"/>
    </xf>
    <xf numFmtId="164" fontId="9" fillId="0" borderId="7" xfId="3" applyNumberFormat="1" applyFont="1" applyFill="1" applyBorder="1" applyAlignment="1"/>
    <xf numFmtId="164" fontId="9" fillId="0" borderId="11" xfId="3" applyNumberFormat="1" applyFont="1" applyFill="1" applyBorder="1" applyAlignment="1"/>
    <xf numFmtId="44" fontId="9" fillId="0" borderId="0" xfId="85" applyNumberFormat="1" applyFont="1"/>
    <xf numFmtId="43" fontId="9" fillId="0" borderId="0" xfId="85" applyNumberFormat="1" applyFont="1"/>
    <xf numFmtId="0" fontId="0" fillId="0" borderId="1" xfId="0" applyFill="1" applyBorder="1"/>
    <xf numFmtId="0" fontId="0" fillId="0" borderId="2" xfId="0" applyFill="1" applyBorder="1"/>
    <xf numFmtId="0" fontId="0" fillId="0" borderId="3" xfId="0" applyFill="1" applyBorder="1"/>
    <xf numFmtId="164" fontId="0" fillId="0" borderId="4" xfId="3" applyNumberFormat="1" applyFont="1" applyFill="1" applyBorder="1"/>
    <xf numFmtId="164" fontId="26" fillId="0" borderId="0" xfId="3" applyNumberFormat="1" applyFont="1" applyFill="1" applyBorder="1" applyProtection="1"/>
    <xf numFmtId="0" fontId="27" fillId="0" borderId="0" xfId="0" applyFont="1" applyFill="1" applyBorder="1" applyProtection="1"/>
    <xf numFmtId="0" fontId="27" fillId="0" borderId="0" xfId="0" applyFont="1" applyFill="1" applyBorder="1" applyAlignment="1" applyProtection="1">
      <alignment wrapText="1"/>
    </xf>
    <xf numFmtId="43" fontId="27" fillId="0" borderId="0" xfId="2" applyFont="1" applyFill="1" applyBorder="1" applyProtection="1"/>
    <xf numFmtId="164" fontId="27" fillId="0" borderId="0" xfId="3" applyNumberFormat="1" applyFont="1" applyFill="1" applyBorder="1" applyProtection="1"/>
    <xf numFmtId="44" fontId="27" fillId="0" borderId="0" xfId="3" applyNumberFormat="1" applyFont="1" applyFill="1" applyBorder="1" applyProtection="1"/>
    <xf numFmtId="0" fontId="25" fillId="6" borderId="58" xfId="4" applyFont="1" applyFill="1" applyBorder="1" applyAlignment="1">
      <alignment horizontal="center" vertical="center" wrapText="1"/>
    </xf>
    <xf numFmtId="173" fontId="25" fillId="0" borderId="48" xfId="4" applyNumberFormat="1" applyFont="1" applyBorder="1" applyAlignment="1">
      <alignment vertical="center"/>
    </xf>
    <xf numFmtId="10" fontId="25" fillId="6" borderId="48" xfId="114" applyNumberFormat="1" applyFont="1" applyFill="1" applyBorder="1" applyAlignment="1">
      <alignment horizontal="center" vertical="center" wrapText="1"/>
    </xf>
    <xf numFmtId="10" fontId="25" fillId="6" borderId="1" xfId="114" applyNumberFormat="1" applyFont="1" applyFill="1" applyBorder="1" applyAlignment="1">
      <alignment horizontal="center" vertical="center" wrapText="1"/>
    </xf>
    <xf numFmtId="0" fontId="31" fillId="11" borderId="62" xfId="85" applyFont="1" applyFill="1" applyBorder="1" applyAlignment="1"/>
    <xf numFmtId="0" fontId="18" fillId="0" borderId="7" xfId="85" applyFont="1" applyFill="1" applyBorder="1" applyAlignment="1">
      <alignment horizontal="left" vertical="top" wrapText="1"/>
    </xf>
    <xf numFmtId="43" fontId="9" fillId="0" borderId="7" xfId="85" applyNumberFormat="1" applyFont="1" applyFill="1" applyBorder="1" applyAlignment="1">
      <alignment horizontal="center"/>
    </xf>
    <xf numFmtId="9" fontId="18" fillId="0" borderId="7" xfId="85" applyNumberFormat="1" applyFont="1" applyFill="1" applyBorder="1" applyAlignment="1">
      <alignment horizontal="center" vertical="top" wrapText="1"/>
    </xf>
    <xf numFmtId="0" fontId="18" fillId="0" borderId="41" xfId="85" applyFont="1" applyFill="1" applyBorder="1" applyAlignment="1">
      <alignment horizontal="left" vertical="top" wrapText="1"/>
    </xf>
    <xf numFmtId="43" fontId="9" fillId="0" borderId="41" xfId="85" applyNumberFormat="1" applyFont="1" applyFill="1" applyBorder="1" applyAlignment="1">
      <alignment horizontal="center"/>
    </xf>
    <xf numFmtId="9" fontId="18" fillId="0" borderId="41" xfId="85" applyNumberFormat="1" applyFont="1" applyFill="1" applyBorder="1" applyAlignment="1">
      <alignment horizontal="center" vertical="top" wrapText="1"/>
    </xf>
    <xf numFmtId="178" fontId="54" fillId="0" borderId="11" xfId="2" applyNumberFormat="1" applyFont="1" applyFill="1" applyBorder="1" applyProtection="1"/>
    <xf numFmtId="178" fontId="27" fillId="0" borderId="0" xfId="2" applyNumberFormat="1" applyFont="1" applyFill="1" applyProtection="1"/>
    <xf numFmtId="178" fontId="27" fillId="0" borderId="0" xfId="2" applyNumberFormat="1" applyFont="1" applyFill="1" applyBorder="1" applyProtection="1"/>
    <xf numFmtId="178" fontId="52" fillId="0" borderId="11" xfId="2" applyNumberFormat="1" applyFont="1" applyFill="1" applyBorder="1" applyAlignment="1" applyProtection="1">
      <alignment horizontal="center" vertical="center" wrapText="1"/>
    </xf>
    <xf numFmtId="191" fontId="27" fillId="0" borderId="0" xfId="3" applyNumberFormat="1" applyFont="1" applyFill="1" applyProtection="1"/>
    <xf numFmtId="164" fontId="22" fillId="0" borderId="23" xfId="3" applyNumberFormat="1" applyFont="1" applyFill="1" applyBorder="1" applyAlignment="1">
      <alignment horizontal="left" vertical="center"/>
    </xf>
    <xf numFmtId="43" fontId="26" fillId="0" borderId="0" xfId="2" applyFont="1" applyFill="1" applyAlignment="1" applyProtection="1">
      <alignment horizontal="center"/>
    </xf>
    <xf numFmtId="178" fontId="12" fillId="12" borderId="11" xfId="85" quotePrefix="1" applyNumberFormat="1" applyFont="1" applyFill="1" applyBorder="1" applyAlignment="1">
      <alignment horizontal="center" vertical="center" wrapText="1"/>
    </xf>
    <xf numFmtId="0" fontId="3" fillId="0" borderId="35" xfId="0" applyFont="1" applyFill="1" applyBorder="1" applyAlignment="1">
      <alignment vertical="center" wrapText="1"/>
    </xf>
    <xf numFmtId="0" fontId="3" fillId="0" borderId="0" xfId="0" applyFont="1" applyFill="1" applyBorder="1" applyAlignment="1">
      <alignment vertical="center" wrapText="1"/>
    </xf>
    <xf numFmtId="0" fontId="9" fillId="0" borderId="14" xfId="85" applyFont="1" applyBorder="1"/>
    <xf numFmtId="0" fontId="31" fillId="5" borderId="39" xfId="85" applyFont="1" applyFill="1" applyBorder="1" applyAlignment="1">
      <alignment horizontal="center" vertical="center" wrapText="1"/>
    </xf>
    <xf numFmtId="0" fontId="31" fillId="5" borderId="73" xfId="85" applyFont="1" applyFill="1" applyBorder="1" applyAlignment="1">
      <alignment horizontal="center" vertical="center" wrapText="1"/>
    </xf>
    <xf numFmtId="0" fontId="31" fillId="5" borderId="5" xfId="85" applyFont="1" applyFill="1" applyBorder="1" applyAlignment="1">
      <alignment horizontal="center" vertical="center" wrapText="1"/>
    </xf>
    <xf numFmtId="178" fontId="12" fillId="0" borderId="9" xfId="0" applyNumberFormat="1" applyFont="1" applyBorder="1" applyAlignment="1">
      <alignment vertical="center"/>
    </xf>
    <xf numFmtId="178" fontId="12" fillId="12" borderId="15" xfId="85" applyNumberFormat="1" applyFont="1" applyFill="1" applyBorder="1" applyAlignment="1">
      <alignment horizontal="center" vertical="center" wrapText="1"/>
    </xf>
    <xf numFmtId="164" fontId="9" fillId="0" borderId="15" xfId="3" applyNumberFormat="1" applyFont="1" applyFill="1" applyBorder="1" applyAlignment="1"/>
    <xf numFmtId="44" fontId="37" fillId="0" borderId="16" xfId="3" applyFont="1" applyFill="1" applyBorder="1" applyAlignment="1">
      <alignment horizontal="center" vertical="center" wrapText="1"/>
    </xf>
    <xf numFmtId="164" fontId="0" fillId="0" borderId="66" xfId="54" applyNumberFormat="1" applyFont="1" applyBorder="1" applyAlignment="1">
      <alignment horizontal="center"/>
    </xf>
    <xf numFmtId="0" fontId="9" fillId="0" borderId="74" xfId="85" applyFont="1" applyBorder="1"/>
    <xf numFmtId="178" fontId="12" fillId="0" borderId="72" xfId="0" applyNumberFormat="1" applyFont="1" applyBorder="1" applyAlignment="1">
      <alignment vertical="center"/>
    </xf>
    <xf numFmtId="0" fontId="32" fillId="0" borderId="0" xfId="85" applyFont="1" applyBorder="1" applyAlignment="1">
      <alignment horizontal="center" wrapText="1"/>
    </xf>
    <xf numFmtId="192" fontId="12" fillId="0" borderId="0" xfId="119" applyNumberFormat="1" applyFont="1" applyFill="1" applyBorder="1" applyAlignment="1">
      <alignment vertical="center"/>
    </xf>
    <xf numFmtId="178" fontId="12" fillId="0" borderId="0" xfId="0" applyNumberFormat="1" applyFont="1" applyBorder="1" applyAlignment="1">
      <alignment vertical="center"/>
    </xf>
    <xf numFmtId="10" fontId="31" fillId="0" borderId="45" xfId="119" applyNumberFormat="1" applyFont="1" applyBorder="1"/>
    <xf numFmtId="10" fontId="38" fillId="0" borderId="46" xfId="119" applyNumberFormat="1" applyFont="1" applyFill="1" applyBorder="1" applyAlignment="1">
      <alignment vertical="center"/>
    </xf>
    <xf numFmtId="10" fontId="38" fillId="0" borderId="75" xfId="119" applyNumberFormat="1" applyFont="1" applyFill="1" applyBorder="1" applyAlignment="1">
      <alignment vertical="center"/>
    </xf>
    <xf numFmtId="0" fontId="31" fillId="0" borderId="29" xfId="85" applyFont="1" applyBorder="1"/>
    <xf numFmtId="0" fontId="2" fillId="0" borderId="0" xfId="0" applyFont="1"/>
    <xf numFmtId="164" fontId="0" fillId="0" borderId="11" xfId="3" applyNumberFormat="1" applyFont="1" applyBorder="1"/>
    <xf numFmtId="164" fontId="0" fillId="0" borderId="11" xfId="0" applyNumberFormat="1" applyBorder="1"/>
    <xf numFmtId="164" fontId="0" fillId="4" borderId="11" xfId="3" applyNumberFormat="1" applyFont="1" applyFill="1" applyBorder="1" applyAlignment="1">
      <alignment horizontal="center"/>
    </xf>
    <xf numFmtId="0" fontId="0" fillId="0" borderId="0" xfId="0" applyBorder="1"/>
    <xf numFmtId="164" fontId="0" fillId="0" borderId="0" xfId="3" applyNumberFormat="1" applyFont="1" applyBorder="1"/>
    <xf numFmtId="0" fontId="0" fillId="0" borderId="26" xfId="0" applyBorder="1"/>
    <xf numFmtId="164" fontId="0" fillId="0" borderId="26" xfId="3" applyNumberFormat="1" applyFont="1" applyBorder="1"/>
    <xf numFmtId="0" fontId="54" fillId="4" borderId="0" xfId="0" applyFont="1" applyFill="1" applyBorder="1"/>
    <xf numFmtId="0" fontId="52" fillId="0" borderId="0" xfId="0" applyFont="1" applyBorder="1" applyAlignment="1" applyProtection="1">
      <alignment horizontal="right"/>
      <protection locked="0"/>
    </xf>
    <xf numFmtId="0" fontId="54" fillId="0" borderId="0" xfId="0" applyFont="1" applyAlignment="1" applyProtection="1">
      <alignment horizontal="center" vertical="center"/>
      <protection locked="0"/>
    </xf>
    <xf numFmtId="0" fontId="54" fillId="0" borderId="0" xfId="0" applyFont="1" applyAlignment="1" applyProtection="1">
      <alignment horizontal="center"/>
      <protection locked="0"/>
    </xf>
    <xf numFmtId="0" fontId="54" fillId="0" borderId="0" xfId="0" applyFont="1" applyProtection="1">
      <protection locked="0"/>
    </xf>
    <xf numFmtId="0" fontId="52" fillId="0" borderId="33" xfId="0" applyFont="1" applyBorder="1" applyAlignment="1" applyProtection="1">
      <alignment horizontal="right"/>
      <protection locked="0"/>
    </xf>
    <xf numFmtId="0" fontId="54" fillId="0" borderId="58" xfId="0" applyFont="1" applyBorder="1" applyAlignment="1" applyProtection="1">
      <alignment horizontal="center" vertical="center"/>
      <protection locked="0"/>
    </xf>
    <xf numFmtId="0" fontId="54" fillId="0" borderId="58" xfId="0" applyFont="1" applyBorder="1" applyAlignment="1" applyProtection="1">
      <alignment horizontal="center"/>
      <protection locked="0"/>
    </xf>
    <xf numFmtId="0" fontId="52" fillId="0" borderId="58" xfId="0" applyFont="1" applyBorder="1" applyAlignment="1" applyProtection="1">
      <alignment horizontal="center" vertical="center" wrapText="1"/>
      <protection locked="0"/>
    </xf>
    <xf numFmtId="0" fontId="52" fillId="0" borderId="58" xfId="0" applyFont="1" applyBorder="1" applyAlignment="1" applyProtection="1">
      <alignment vertical="center" wrapText="1"/>
      <protection locked="0"/>
    </xf>
    <xf numFmtId="0" fontId="52" fillId="0" borderId="68" xfId="0" applyFont="1" applyBorder="1" applyAlignment="1" applyProtection="1">
      <alignment vertical="center" wrapText="1"/>
      <protection locked="0"/>
    </xf>
    <xf numFmtId="0" fontId="52" fillId="0" borderId="32" xfId="0" applyFont="1" applyBorder="1" applyAlignment="1" applyProtection="1">
      <alignment horizontal="right"/>
      <protection locked="0"/>
    </xf>
    <xf numFmtId="0" fontId="52" fillId="0" borderId="0" xfId="0" applyFont="1" applyBorder="1" applyAlignment="1" applyProtection="1">
      <alignment horizontal="center" vertical="center" wrapText="1"/>
      <protection locked="0"/>
    </xf>
    <xf numFmtId="0" fontId="54" fillId="0" borderId="0" xfId="0" applyFont="1" applyBorder="1" applyAlignment="1" applyProtection="1">
      <alignment horizontal="center"/>
      <protection locked="0"/>
    </xf>
    <xf numFmtId="0" fontId="52" fillId="0" borderId="71" xfId="0" applyFont="1" applyBorder="1" applyAlignment="1" applyProtection="1">
      <alignment vertical="center" wrapText="1"/>
      <protection locked="0"/>
    </xf>
    <xf numFmtId="0" fontId="52" fillId="0" borderId="0" xfId="0" applyFont="1" applyBorder="1" applyAlignment="1" applyProtection="1">
      <alignment vertical="center" wrapText="1"/>
      <protection locked="0"/>
    </xf>
    <xf numFmtId="0" fontId="54" fillId="4" borderId="71" xfId="0" applyFont="1" applyFill="1" applyBorder="1"/>
    <xf numFmtId="0" fontId="52" fillId="0" borderId="62" xfId="0" applyFont="1" applyBorder="1" applyAlignment="1" applyProtection="1">
      <alignment horizontal="right"/>
      <protection locked="0"/>
    </xf>
    <xf numFmtId="0" fontId="54" fillId="4" borderId="63" xfId="0" applyFont="1" applyFill="1" applyBorder="1"/>
    <xf numFmtId="0" fontId="54" fillId="4" borderId="38" xfId="0" applyFont="1" applyFill="1" applyBorder="1"/>
    <xf numFmtId="0" fontId="52" fillId="17" borderId="25" xfId="0" applyFont="1" applyFill="1" applyBorder="1" applyAlignment="1">
      <alignment horizontal="center" vertical="center" wrapText="1"/>
    </xf>
    <xf numFmtId="0" fontId="52" fillId="17" borderId="11" xfId="0" applyFont="1" applyFill="1" applyBorder="1" applyAlignment="1">
      <alignment horizontal="center" vertical="center" wrapText="1"/>
    </xf>
    <xf numFmtId="0" fontId="52" fillId="17" borderId="12" xfId="0" applyFont="1" applyFill="1" applyBorder="1" applyAlignment="1">
      <alignment horizontal="center" vertical="center" wrapText="1"/>
    </xf>
    <xf numFmtId="0" fontId="54" fillId="0" borderId="0" xfId="0" applyFont="1"/>
    <xf numFmtId="3" fontId="54" fillId="0" borderId="11" xfId="0" applyNumberFormat="1" applyFont="1" applyBorder="1" applyAlignment="1">
      <alignment horizontal="center" vertical="center"/>
    </xf>
    <xf numFmtId="173" fontId="54" fillId="7" borderId="11" xfId="0" applyNumberFormat="1" applyFont="1" applyFill="1" applyBorder="1" applyAlignment="1">
      <alignment horizontal="center" vertical="center"/>
    </xf>
    <xf numFmtId="173" fontId="54" fillId="0" borderId="11" xfId="0" applyNumberFormat="1" applyFont="1" applyFill="1" applyBorder="1" applyAlignment="1">
      <alignment horizontal="center" vertical="center"/>
    </xf>
    <xf numFmtId="173" fontId="54" fillId="0" borderId="11" xfId="0" applyNumberFormat="1" applyFont="1" applyBorder="1" applyAlignment="1">
      <alignment horizontal="center" vertical="center"/>
    </xf>
    <xf numFmtId="173" fontId="54" fillId="16" borderId="12" xfId="0" applyNumberFormat="1" applyFont="1" applyFill="1" applyBorder="1" applyAlignment="1">
      <alignment horizontal="center" vertical="center"/>
    </xf>
    <xf numFmtId="3" fontId="54" fillId="0" borderId="41" xfId="0" applyNumberFormat="1" applyFont="1" applyBorder="1" applyAlignment="1">
      <alignment horizontal="center" vertical="center"/>
    </xf>
    <xf numFmtId="173" fontId="54" fillId="7" borderId="41" xfId="0" applyNumberFormat="1" applyFont="1" applyFill="1" applyBorder="1" applyAlignment="1">
      <alignment horizontal="center" vertical="center"/>
    </xf>
    <xf numFmtId="173" fontId="54" fillId="0" borderId="41" xfId="0" applyNumberFormat="1" applyFont="1" applyFill="1" applyBorder="1" applyAlignment="1">
      <alignment horizontal="center" vertical="center"/>
    </xf>
    <xf numFmtId="173" fontId="54" fillId="0" borderId="41" xfId="0" applyNumberFormat="1" applyFont="1" applyBorder="1" applyAlignment="1">
      <alignment horizontal="center" vertical="center"/>
    </xf>
    <xf numFmtId="173" fontId="54" fillId="16" borderId="42" xfId="0" applyNumberFormat="1" applyFont="1" applyFill="1" applyBorder="1" applyAlignment="1">
      <alignment horizontal="center" vertical="center"/>
    </xf>
    <xf numFmtId="173" fontId="54" fillId="4" borderId="11" xfId="0" applyNumberFormat="1" applyFont="1" applyFill="1" applyBorder="1" applyAlignment="1">
      <alignment horizontal="justify" vertical="center" wrapText="1"/>
    </xf>
    <xf numFmtId="0" fontId="54" fillId="0" borderId="41" xfId="0" applyFont="1" applyBorder="1" applyAlignment="1">
      <alignment horizontal="justify" wrapText="1"/>
    </xf>
    <xf numFmtId="0" fontId="52" fillId="17" borderId="46" xfId="0" applyFont="1" applyFill="1" applyBorder="1" applyAlignment="1">
      <alignment horizontal="center" vertical="center" wrapText="1"/>
    </xf>
    <xf numFmtId="0" fontId="54" fillId="0" borderId="32" xfId="0" applyFont="1" applyBorder="1" applyAlignment="1" applyProtection="1">
      <alignment horizontal="left" vertical="center"/>
      <protection locked="0"/>
    </xf>
    <xf numFmtId="0" fontId="54" fillId="0" borderId="11" xfId="0" applyFont="1" applyBorder="1" applyAlignment="1">
      <alignment horizontal="center" vertical="center" wrapText="1"/>
    </xf>
    <xf numFmtId="0" fontId="54" fillId="0" borderId="11" xfId="0" applyFont="1" applyBorder="1" applyAlignment="1">
      <alignment horizontal="center" vertical="center"/>
    </xf>
    <xf numFmtId="173" fontId="54" fillId="4" borderId="11" xfId="0" applyNumberFormat="1" applyFont="1" applyFill="1" applyBorder="1" applyAlignment="1">
      <alignment horizontal="center" vertical="center"/>
    </xf>
    <xf numFmtId="0" fontId="54" fillId="0" borderId="32" xfId="0" applyFont="1" applyBorder="1"/>
    <xf numFmtId="0" fontId="54" fillId="0" borderId="0" xfId="0" applyFont="1" applyBorder="1"/>
    <xf numFmtId="0" fontId="54" fillId="0" borderId="11" xfId="0" applyFont="1" applyBorder="1" applyAlignment="1">
      <alignment vertical="center" wrapText="1"/>
    </xf>
    <xf numFmtId="0" fontId="52" fillId="17" borderId="10" xfId="0" applyFont="1" applyFill="1" applyBorder="1" applyAlignment="1">
      <alignment horizontal="center" vertical="center" wrapText="1"/>
    </xf>
    <xf numFmtId="0" fontId="52" fillId="4" borderId="33" xfId="0" applyFont="1" applyFill="1" applyBorder="1" applyAlignment="1" applyProtection="1">
      <alignment horizontal="right"/>
      <protection locked="0"/>
    </xf>
    <xf numFmtId="0" fontId="54" fillId="4" borderId="58" xfId="0" applyFont="1" applyFill="1" applyBorder="1" applyAlignment="1" applyProtection="1">
      <alignment horizontal="center" vertical="center"/>
      <protection locked="0"/>
    </xf>
    <xf numFmtId="0" fontId="54" fillId="4" borderId="58" xfId="0" applyFont="1" applyFill="1" applyBorder="1" applyAlignment="1" applyProtection="1">
      <alignment horizontal="center"/>
      <protection locked="0"/>
    </xf>
    <xf numFmtId="0" fontId="52" fillId="4" borderId="58" xfId="0" applyFont="1" applyFill="1" applyBorder="1" applyAlignment="1" applyProtection="1">
      <alignment horizontal="center" vertical="center" wrapText="1"/>
      <protection locked="0"/>
    </xf>
    <xf numFmtId="0" fontId="52" fillId="4" borderId="58" xfId="0" applyFont="1" applyFill="1" applyBorder="1" applyAlignment="1" applyProtection="1">
      <alignment vertical="center" wrapText="1"/>
      <protection locked="0"/>
    </xf>
    <xf numFmtId="0" fontId="52" fillId="4" borderId="68" xfId="0" applyFont="1" applyFill="1" applyBorder="1" applyAlignment="1" applyProtection="1">
      <alignment vertical="center" wrapText="1"/>
      <protection locked="0"/>
    </xf>
    <xf numFmtId="0" fontId="52" fillId="4" borderId="32" xfId="0" applyFont="1" applyFill="1" applyBorder="1" applyAlignment="1" applyProtection="1">
      <alignment horizontal="right"/>
      <protection locked="0"/>
    </xf>
    <xf numFmtId="0" fontId="52" fillId="4" borderId="0" xfId="0" applyFont="1" applyFill="1" applyBorder="1" applyAlignment="1" applyProtection="1">
      <alignment horizontal="center" vertical="center" wrapText="1"/>
      <protection locked="0"/>
    </xf>
    <xf numFmtId="0" fontId="54" fillId="4" borderId="0" xfId="0" applyFont="1" applyFill="1" applyBorder="1" applyAlignment="1" applyProtection="1">
      <alignment horizontal="center"/>
      <protection locked="0"/>
    </xf>
    <xf numFmtId="0" fontId="52" fillId="4" borderId="71" xfId="0" applyFont="1" applyFill="1" applyBorder="1" applyAlignment="1" applyProtection="1">
      <alignment vertical="center" wrapText="1"/>
      <protection locked="0"/>
    </xf>
    <xf numFmtId="0" fontId="52" fillId="4" borderId="0" xfId="0" applyFont="1" applyFill="1" applyBorder="1" applyAlignment="1" applyProtection="1">
      <alignment vertical="center" wrapText="1"/>
      <protection locked="0"/>
    </xf>
    <xf numFmtId="0" fontId="52" fillId="4" borderId="62" xfId="0" applyFont="1" applyFill="1" applyBorder="1" applyAlignment="1" applyProtection="1">
      <alignment horizontal="right"/>
      <protection locked="0"/>
    </xf>
    <xf numFmtId="0" fontId="52" fillId="0" borderId="32" xfId="0" applyFont="1" applyFill="1" applyBorder="1" applyAlignment="1" applyProtection="1">
      <alignment horizontal="left" vertical="center"/>
      <protection locked="0"/>
    </xf>
    <xf numFmtId="0" fontId="52" fillId="0" borderId="0" xfId="0" applyFont="1" applyFill="1" applyBorder="1" applyAlignment="1" applyProtection="1">
      <alignment horizontal="left" vertical="center"/>
      <protection locked="0"/>
    </xf>
    <xf numFmtId="0" fontId="57" fillId="0" borderId="0" xfId="0" applyFont="1" applyFill="1" applyBorder="1" applyAlignment="1" applyProtection="1">
      <alignment horizontal="left" vertical="center" wrapText="1"/>
      <protection locked="0"/>
    </xf>
    <xf numFmtId="0" fontId="52" fillId="0" borderId="0" xfId="0" applyFont="1" applyFill="1" applyBorder="1" applyAlignment="1" applyProtection="1">
      <protection locked="0"/>
    </xf>
    <xf numFmtId="0" fontId="54" fillId="0" borderId="71" xfId="0" applyFont="1" applyFill="1" applyBorder="1" applyProtection="1">
      <protection locked="0"/>
    </xf>
    <xf numFmtId="0" fontId="54" fillId="0" borderId="71" xfId="0" applyFont="1" applyBorder="1"/>
    <xf numFmtId="9" fontId="54" fillId="0" borderId="0" xfId="0" applyNumberFormat="1" applyFont="1"/>
    <xf numFmtId="3" fontId="54" fillId="0" borderId="25" xfId="0" applyNumberFormat="1" applyFont="1" applyBorder="1" applyAlignment="1">
      <alignment vertical="center"/>
    </xf>
    <xf numFmtId="9" fontId="54" fillId="0" borderId="11" xfId="119" applyFont="1" applyFill="1" applyBorder="1" applyAlignment="1">
      <alignment horizontal="center" vertical="center"/>
    </xf>
    <xf numFmtId="0" fontId="54" fillId="0" borderId="25" xfId="0" applyFont="1" applyBorder="1"/>
    <xf numFmtId="0" fontId="54" fillId="0" borderId="11" xfId="0" applyFont="1" applyBorder="1" applyAlignment="1">
      <alignment horizontal="center"/>
    </xf>
    <xf numFmtId="0" fontId="54" fillId="0" borderId="67" xfId="0" applyFont="1" applyBorder="1"/>
    <xf numFmtId="0" fontId="54" fillId="0" borderId="15" xfId="0" applyFont="1" applyBorder="1" applyAlignment="1">
      <alignment horizontal="center"/>
    </xf>
    <xf numFmtId="173" fontId="54" fillId="7" borderId="15" xfId="0" applyNumberFormat="1" applyFont="1" applyFill="1" applyBorder="1" applyAlignment="1">
      <alignment horizontal="center" vertical="center"/>
    </xf>
    <xf numFmtId="0" fontId="54" fillId="0" borderId="40" xfId="0" applyFont="1" applyBorder="1"/>
    <xf numFmtId="0" fontId="54" fillId="0" borderId="41" xfId="0" applyFont="1" applyBorder="1" applyAlignment="1">
      <alignment horizontal="center"/>
    </xf>
    <xf numFmtId="0" fontId="54" fillId="0" borderId="0" xfId="0" applyFont="1" applyFill="1" applyBorder="1"/>
    <xf numFmtId="3" fontId="54" fillId="0" borderId="25" xfId="0" applyNumberFormat="1" applyFont="1" applyBorder="1" applyAlignment="1">
      <alignment vertical="center" wrapText="1"/>
    </xf>
    <xf numFmtId="0" fontId="54" fillId="0" borderId="25" xfId="0" applyFont="1" applyBorder="1" applyAlignment="1">
      <alignment wrapText="1"/>
    </xf>
    <xf numFmtId="9" fontId="54" fillId="0" borderId="41" xfId="119" applyFont="1" applyFill="1" applyBorder="1" applyAlignment="1">
      <alignment horizontal="center" vertical="center"/>
    </xf>
    <xf numFmtId="0" fontId="2" fillId="11" borderId="11" xfId="0" applyFont="1" applyFill="1" applyBorder="1" applyAlignment="1">
      <alignment horizontal="center"/>
    </xf>
    <xf numFmtId="0" fontId="15" fillId="0" borderId="11" xfId="0" applyFont="1" applyBorder="1" applyAlignment="1">
      <alignment horizontal="center" vertical="center" wrapText="1"/>
    </xf>
    <xf numFmtId="164" fontId="59" fillId="0" borderId="11" xfId="0" applyNumberFormat="1" applyFont="1" applyBorder="1" applyAlignment="1">
      <alignment horizontal="center" vertical="center" wrapText="1"/>
    </xf>
    <xf numFmtId="164" fontId="37" fillId="0" borderId="12" xfId="3" applyNumberFormat="1" applyFont="1" applyFill="1" applyBorder="1" applyAlignment="1">
      <alignment horizontal="center" vertical="center" wrapText="1"/>
    </xf>
    <xf numFmtId="0" fontId="60" fillId="0" borderId="0" xfId="0" applyFont="1" applyAlignment="1">
      <alignment vertical="center"/>
    </xf>
    <xf numFmtId="0" fontId="29" fillId="0" borderId="0" xfId="0" applyFont="1" applyAlignment="1">
      <alignment vertical="center"/>
    </xf>
    <xf numFmtId="0" fontId="68" fillId="0" borderId="0" xfId="0" applyFont="1" applyBorder="1" applyAlignment="1">
      <alignment vertical="center" wrapText="1"/>
    </xf>
    <xf numFmtId="0" fontId="29" fillId="0" borderId="0" xfId="0" applyFont="1" applyBorder="1" applyAlignment="1">
      <alignment vertical="center"/>
    </xf>
    <xf numFmtId="181" fontId="29" fillId="0" borderId="6" xfId="2" applyNumberFormat="1" applyFont="1" applyBorder="1" applyAlignment="1">
      <alignment vertical="center"/>
    </xf>
    <xf numFmtId="181" fontId="29" fillId="0" borderId="10" xfId="2" applyNumberFormat="1" applyFont="1" applyBorder="1" applyAlignment="1">
      <alignment vertical="center"/>
    </xf>
    <xf numFmtId="181" fontId="29" fillId="0" borderId="57" xfId="2" applyNumberFormat="1" applyFont="1" applyBorder="1" applyAlignment="1">
      <alignment vertical="center"/>
    </xf>
    <xf numFmtId="194" fontId="29" fillId="0" borderId="11" xfId="0" applyNumberFormat="1" applyFont="1" applyBorder="1" applyAlignment="1">
      <alignment vertical="center"/>
    </xf>
    <xf numFmtId="0" fontId="29" fillId="0" borderId="24" xfId="0" applyFont="1" applyBorder="1" applyAlignment="1">
      <alignment vertical="center"/>
    </xf>
    <xf numFmtId="9" fontId="26" fillId="0" borderId="0" xfId="119" applyFont="1" applyFill="1" applyBorder="1" applyAlignment="1">
      <alignment horizontal="left" vertical="center"/>
    </xf>
    <xf numFmtId="43" fontId="29" fillId="0" borderId="0" xfId="0" applyNumberFormat="1" applyFont="1" applyBorder="1" applyAlignment="1">
      <alignment vertical="center"/>
    </xf>
    <xf numFmtId="10" fontId="62" fillId="0" borderId="11" xfId="119" applyNumberFormat="1" applyFont="1" applyBorder="1" applyAlignment="1">
      <alignment horizontal="center" vertical="center"/>
    </xf>
    <xf numFmtId="10" fontId="62" fillId="18" borderId="11" xfId="119" applyNumberFormat="1" applyFont="1" applyFill="1" applyBorder="1" applyAlignment="1">
      <alignment horizontal="center" vertical="center"/>
    </xf>
    <xf numFmtId="10" fontId="62" fillId="18" borderId="35" xfId="119" applyNumberFormat="1" applyFont="1" applyFill="1" applyBorder="1" applyAlignment="1">
      <alignment horizontal="center" vertical="center"/>
    </xf>
    <xf numFmtId="0" fontId="63" fillId="0" borderId="0" xfId="0" applyFont="1" applyBorder="1" applyAlignment="1">
      <alignment vertical="center"/>
    </xf>
    <xf numFmtId="0" fontId="27" fillId="0" borderId="0" xfId="0" applyFont="1" applyBorder="1" applyAlignment="1">
      <alignment vertical="center"/>
    </xf>
    <xf numFmtId="0" fontId="52" fillId="0" borderId="0" xfId="0" applyFont="1" applyAlignment="1">
      <alignment vertical="center"/>
    </xf>
    <xf numFmtId="180" fontId="29" fillId="0" borderId="5" xfId="2" applyNumberFormat="1" applyFont="1" applyBorder="1" applyAlignment="1">
      <alignment horizontal="center" vertical="center"/>
    </xf>
    <xf numFmtId="180" fontId="29" fillId="0" borderId="9" xfId="2" applyNumberFormat="1" applyFont="1" applyBorder="1" applyAlignment="1">
      <alignment horizontal="center" vertical="center"/>
    </xf>
    <xf numFmtId="180" fontId="29" fillId="0" borderId="36" xfId="2" applyNumberFormat="1" applyFont="1" applyBorder="1" applyAlignment="1">
      <alignment horizontal="center" vertical="center"/>
    </xf>
    <xf numFmtId="0" fontId="29" fillId="0" borderId="0" xfId="0" applyFont="1" applyFill="1" applyBorder="1" applyAlignment="1">
      <alignment vertical="center"/>
    </xf>
    <xf numFmtId="164" fontId="29" fillId="7" borderId="65" xfId="3" applyNumberFormat="1" applyFont="1" applyFill="1" applyBorder="1" applyAlignment="1">
      <alignment vertical="center"/>
    </xf>
    <xf numFmtId="164" fontId="29" fillId="7" borderId="53" xfId="3" applyNumberFormat="1" applyFont="1" applyFill="1" applyBorder="1" applyAlignment="1">
      <alignment vertical="center"/>
    </xf>
    <xf numFmtId="164" fontId="29" fillId="7" borderId="55" xfId="3" applyNumberFormat="1" applyFont="1" applyFill="1" applyBorder="1" applyAlignment="1">
      <alignment vertical="center"/>
    </xf>
    <xf numFmtId="0" fontId="29" fillId="0" borderId="35" xfId="0" applyFont="1" applyBorder="1" applyAlignment="1">
      <alignment vertical="center"/>
    </xf>
    <xf numFmtId="0" fontId="29" fillId="0" borderId="34" xfId="0" applyFont="1" applyBorder="1" applyAlignment="1">
      <alignment vertical="center"/>
    </xf>
    <xf numFmtId="0" fontId="29" fillId="0" borderId="37" xfId="0" applyFont="1" applyBorder="1" applyAlignment="1">
      <alignment vertical="center"/>
    </xf>
    <xf numFmtId="0" fontId="54" fillId="0" borderId="64" xfId="0" applyFont="1" applyFill="1" applyBorder="1" applyAlignment="1">
      <alignment horizontal="left" vertical="center"/>
    </xf>
    <xf numFmtId="0" fontId="54" fillId="0" borderId="52" xfId="0" applyFont="1" applyFill="1" applyBorder="1" applyAlignment="1">
      <alignment horizontal="left" vertical="center"/>
    </xf>
    <xf numFmtId="0" fontId="54" fillId="0" borderId="54" xfId="0" applyFont="1" applyFill="1" applyBorder="1" applyAlignment="1">
      <alignment horizontal="left" vertical="center"/>
    </xf>
    <xf numFmtId="0" fontId="29" fillId="0" borderId="65" xfId="0" applyFont="1" applyBorder="1" applyAlignment="1">
      <alignment vertical="center"/>
    </xf>
    <xf numFmtId="0" fontId="29" fillId="0" borderId="53" xfId="0" applyFont="1" applyBorder="1" applyAlignment="1">
      <alignment vertical="center"/>
    </xf>
    <xf numFmtId="0" fontId="29" fillId="0" borderId="55" xfId="0" applyFont="1" applyBorder="1" applyAlignment="1">
      <alignment vertical="center"/>
    </xf>
    <xf numFmtId="0" fontId="69" fillId="0" borderId="0" xfId="0" applyFont="1" applyAlignment="1">
      <alignment vertical="center"/>
    </xf>
    <xf numFmtId="190" fontId="54" fillId="7" borderId="53" xfId="0" applyNumberFormat="1" applyFont="1" applyFill="1" applyBorder="1" applyAlignment="1">
      <alignment vertical="center"/>
    </xf>
    <xf numFmtId="0" fontId="70" fillId="0" borderId="0" xfId="0" applyNumberFormat="1" applyFont="1" applyAlignment="1">
      <alignment vertical="center"/>
    </xf>
    <xf numFmtId="0" fontId="54" fillId="0" borderId="52" xfId="0" applyNumberFormat="1" applyFont="1" applyBorder="1" applyAlignment="1">
      <alignment horizontal="left" vertical="center"/>
    </xf>
    <xf numFmtId="0" fontId="54" fillId="0" borderId="54" xfId="0" applyNumberFormat="1" applyFont="1" applyBorder="1" applyAlignment="1">
      <alignment horizontal="left" vertical="center"/>
    </xf>
    <xf numFmtId="0" fontId="54" fillId="0" borderId="49" xfId="0" applyNumberFormat="1" applyFont="1" applyBorder="1" applyAlignment="1">
      <alignment horizontal="left" vertical="center"/>
    </xf>
    <xf numFmtId="0" fontId="29" fillId="0" borderId="50" xfId="0" applyFont="1" applyBorder="1" applyAlignment="1">
      <alignment vertical="center"/>
    </xf>
    <xf numFmtId="190" fontId="54" fillId="7" borderId="50" xfId="0" applyNumberFormat="1" applyFont="1" applyFill="1" applyBorder="1" applyAlignment="1">
      <alignment vertical="center"/>
    </xf>
    <xf numFmtId="0" fontId="71" fillId="0" borderId="31" xfId="0" applyNumberFormat="1" applyFont="1" applyBorder="1" applyAlignment="1">
      <alignment horizontal="center" vertical="center" wrapText="1"/>
    </xf>
    <xf numFmtId="0" fontId="54" fillId="0" borderId="0" xfId="0" applyFont="1" applyAlignment="1">
      <alignment horizontal="center" vertical="center"/>
    </xf>
    <xf numFmtId="9" fontId="26" fillId="0" borderId="0" xfId="119" applyFont="1" applyFill="1" applyBorder="1" applyAlignment="1">
      <alignment horizontal="center" vertical="center"/>
    </xf>
    <xf numFmtId="10" fontId="52" fillId="0" borderId="72" xfId="119" applyNumberFormat="1" applyFont="1" applyBorder="1" applyAlignment="1">
      <alignment horizontal="center" vertical="center"/>
    </xf>
    <xf numFmtId="10" fontId="52" fillId="0" borderId="20" xfId="119" applyNumberFormat="1" applyFont="1" applyBorder="1" applyAlignment="1">
      <alignment horizontal="center" vertical="center"/>
    </xf>
    <xf numFmtId="0" fontId="64" fillId="0" borderId="33" xfId="0" applyFont="1" applyBorder="1" applyAlignment="1">
      <alignment vertical="center"/>
    </xf>
    <xf numFmtId="0" fontId="29" fillId="0" borderId="58" xfId="0" applyFont="1" applyBorder="1" applyAlignment="1">
      <alignment vertical="center"/>
    </xf>
    <xf numFmtId="0" fontId="29" fillId="0" borderId="68" xfId="0" applyFont="1" applyBorder="1" applyAlignment="1">
      <alignment vertical="center"/>
    </xf>
    <xf numFmtId="0" fontId="29" fillId="0" borderId="62" xfId="0" applyFont="1" applyBorder="1" applyAlignment="1">
      <alignment vertical="center"/>
    </xf>
    <xf numFmtId="0" fontId="29" fillId="0" borderId="63" xfId="0" applyFont="1" applyBorder="1" applyAlignment="1">
      <alignment vertical="center"/>
    </xf>
    <xf numFmtId="0" fontId="29" fillId="0" borderId="38" xfId="0" applyFont="1" applyBorder="1" applyAlignment="1">
      <alignment vertical="center"/>
    </xf>
    <xf numFmtId="0" fontId="28" fillId="0" borderId="33" xfId="0" applyNumberFormat="1" applyFont="1" applyBorder="1" applyAlignment="1">
      <alignment horizontal="center" vertical="center"/>
    </xf>
    <xf numFmtId="0" fontId="29" fillId="0" borderId="32" xfId="0" applyFont="1" applyBorder="1" applyAlignment="1">
      <alignment vertical="center"/>
    </xf>
    <xf numFmtId="0" fontId="29" fillId="0" borderId="71" xfId="0" applyFont="1" applyBorder="1" applyAlignment="1">
      <alignment vertical="center"/>
    </xf>
    <xf numFmtId="0" fontId="62" fillId="0" borderId="25" xfId="0" applyFont="1" applyBorder="1" applyAlignment="1">
      <alignment vertical="center"/>
    </xf>
    <xf numFmtId="194" fontId="29" fillId="0" borderId="12" xfId="0" applyNumberFormat="1" applyFont="1" applyBorder="1" applyAlignment="1">
      <alignment vertical="center"/>
    </xf>
    <xf numFmtId="0" fontId="62" fillId="0" borderId="40" xfId="0" applyFont="1" applyBorder="1" applyAlignment="1">
      <alignment vertical="center"/>
    </xf>
    <xf numFmtId="194" fontId="29" fillId="0" borderId="41" xfId="0" applyNumberFormat="1" applyFont="1" applyBorder="1" applyAlignment="1">
      <alignment vertical="center"/>
    </xf>
    <xf numFmtId="194" fontId="29" fillId="0" borderId="42" xfId="0" applyNumberFormat="1" applyFont="1" applyBorder="1" applyAlignment="1">
      <alignment vertical="center"/>
    </xf>
    <xf numFmtId="0" fontId="62" fillId="0" borderId="47" xfId="0" applyFont="1" applyBorder="1" applyAlignment="1">
      <alignment vertical="center"/>
    </xf>
    <xf numFmtId="193" fontId="63" fillId="0" borderId="26" xfId="0" applyNumberFormat="1" applyFont="1" applyFill="1" applyBorder="1" applyAlignment="1">
      <alignment horizontal="justify" vertical="center" wrapText="1"/>
    </xf>
    <xf numFmtId="192" fontId="64" fillId="0" borderId="0" xfId="119" applyNumberFormat="1" applyFont="1" applyBorder="1" applyAlignment="1">
      <alignment horizontal="center" vertical="center"/>
    </xf>
    <xf numFmtId="192" fontId="64" fillId="0" borderId="71" xfId="119" applyNumberFormat="1" applyFont="1" applyBorder="1" applyAlignment="1">
      <alignment horizontal="center" vertical="center"/>
    </xf>
    <xf numFmtId="0" fontId="26" fillId="19" borderId="30" xfId="0" applyFont="1" applyFill="1" applyBorder="1" applyAlignment="1">
      <alignment horizontal="center" vertical="center"/>
    </xf>
    <xf numFmtId="0" fontId="26" fillId="19" borderId="3" xfId="0" applyFont="1" applyFill="1" applyBorder="1" applyAlignment="1">
      <alignment horizontal="center" vertical="center" wrapText="1"/>
    </xf>
    <xf numFmtId="0" fontId="26" fillId="19" borderId="3" xfId="0" applyFont="1" applyFill="1" applyBorder="1" applyAlignment="1">
      <alignment horizontal="center" vertical="center"/>
    </xf>
    <xf numFmtId="0" fontId="26" fillId="19" borderId="4" xfId="0" applyFont="1" applyFill="1" applyBorder="1" applyAlignment="1">
      <alignment horizontal="center" vertical="center"/>
    </xf>
    <xf numFmtId="194" fontId="29" fillId="0" borderId="27" xfId="0" applyNumberFormat="1" applyFont="1" applyBorder="1" applyAlignment="1">
      <alignment vertical="center"/>
    </xf>
    <xf numFmtId="194" fontId="29" fillId="0" borderId="26" xfId="0" applyNumberFormat="1" applyFont="1" applyBorder="1" applyAlignment="1">
      <alignment vertical="center"/>
    </xf>
    <xf numFmtId="10" fontId="52" fillId="7" borderId="17" xfId="119" applyNumberFormat="1" applyFont="1" applyFill="1" applyBorder="1" applyAlignment="1">
      <alignment horizontal="center" vertical="center"/>
    </xf>
    <xf numFmtId="0" fontId="65" fillId="0" borderId="0" xfId="0" applyFont="1" applyBorder="1" applyAlignment="1">
      <alignment horizontal="center" vertical="center" wrapText="1"/>
    </xf>
    <xf numFmtId="0" fontId="62" fillId="0" borderId="0" xfId="0" applyFont="1" applyFill="1" applyBorder="1" applyAlignment="1">
      <alignment horizontal="center" vertical="center"/>
    </xf>
    <xf numFmtId="10" fontId="62" fillId="0" borderId="0" xfId="119" applyNumberFormat="1" applyFont="1" applyFill="1" applyBorder="1" applyAlignment="1">
      <alignment horizontal="center" vertical="center"/>
    </xf>
    <xf numFmtId="10" fontId="62" fillId="18" borderId="41" xfId="119" applyNumberFormat="1" applyFont="1" applyFill="1" applyBorder="1" applyAlignment="1">
      <alignment horizontal="center" vertical="center"/>
    </xf>
    <xf numFmtId="10" fontId="62" fillId="18" borderId="37" xfId="119" applyNumberFormat="1" applyFont="1" applyFill="1" applyBorder="1" applyAlignment="1">
      <alignment horizontal="center" vertical="center"/>
    </xf>
    <xf numFmtId="0" fontId="62" fillId="0" borderId="25" xfId="0" applyFont="1" applyBorder="1" applyAlignment="1">
      <alignment horizontal="center" vertical="center"/>
    </xf>
    <xf numFmtId="0" fontId="62" fillId="18" borderId="25" xfId="0" applyFont="1" applyFill="1" applyBorder="1" applyAlignment="1">
      <alignment horizontal="center" vertical="center"/>
    </xf>
    <xf numFmtId="0" fontId="62" fillId="18" borderId="40" xfId="0" applyFont="1" applyFill="1" applyBorder="1" applyAlignment="1">
      <alignment horizontal="center" vertical="center"/>
    </xf>
    <xf numFmtId="0" fontId="66" fillId="19" borderId="30" xfId="0" applyFont="1" applyFill="1" applyBorder="1" applyAlignment="1">
      <alignment horizontal="center" vertical="center"/>
    </xf>
    <xf numFmtId="0" fontId="66" fillId="19" borderId="3" xfId="0" applyFont="1" applyFill="1" applyBorder="1" applyAlignment="1">
      <alignment horizontal="center" vertical="center"/>
    </xf>
    <xf numFmtId="0" fontId="66" fillId="19" borderId="45" xfId="0" applyFont="1" applyFill="1" applyBorder="1" applyAlignment="1">
      <alignment horizontal="center" vertical="center"/>
    </xf>
    <xf numFmtId="0" fontId="66" fillId="19" borderId="4" xfId="0" applyFont="1" applyFill="1" applyBorder="1" applyAlignment="1">
      <alignment horizontal="center" vertical="center"/>
    </xf>
    <xf numFmtId="0" fontId="65" fillId="19" borderId="1" xfId="0" applyFont="1" applyFill="1" applyBorder="1" applyAlignment="1">
      <alignment horizontal="right" vertical="center"/>
    </xf>
    <xf numFmtId="9" fontId="66" fillId="19" borderId="1" xfId="119" applyFont="1" applyFill="1" applyBorder="1" applyAlignment="1">
      <alignment horizontal="right" vertical="center"/>
    </xf>
    <xf numFmtId="0" fontId="25" fillId="18" borderId="29" xfId="0" applyFont="1" applyFill="1" applyBorder="1" applyAlignment="1">
      <alignment vertical="center"/>
    </xf>
    <xf numFmtId="0" fontId="29" fillId="18" borderId="45" xfId="0" applyFont="1" applyFill="1" applyBorder="1" applyAlignment="1">
      <alignment vertical="center"/>
    </xf>
    <xf numFmtId="0" fontId="29" fillId="18" borderId="31" xfId="0" applyFont="1" applyFill="1" applyBorder="1" applyAlignment="1">
      <alignment vertical="center"/>
    </xf>
    <xf numFmtId="0" fontId="29" fillId="0" borderId="0" xfId="0" applyFont="1" applyFill="1" applyAlignment="1">
      <alignment vertical="center"/>
    </xf>
    <xf numFmtId="0" fontId="25" fillId="0" borderId="0" xfId="0" applyFont="1" applyFill="1" applyBorder="1" applyAlignment="1">
      <alignment vertical="center"/>
    </xf>
    <xf numFmtId="0" fontId="29" fillId="0" borderId="33" xfId="0" applyFont="1" applyBorder="1" applyAlignment="1">
      <alignment vertical="center"/>
    </xf>
    <xf numFmtId="0" fontId="68" fillId="0" borderId="0" xfId="0" applyFont="1" applyBorder="1" applyAlignment="1">
      <alignment horizontal="center" vertical="center" wrapText="1"/>
    </xf>
    <xf numFmtId="0" fontId="72" fillId="0" borderId="0" xfId="0" applyFont="1" applyAlignment="1">
      <alignment vertical="center"/>
    </xf>
    <xf numFmtId="0" fontId="55" fillId="0" borderId="0" xfId="0" applyFont="1" applyAlignment="1">
      <alignment vertical="center"/>
    </xf>
    <xf numFmtId="0" fontId="29" fillId="0" borderId="32" xfId="0" applyFont="1" applyBorder="1" applyAlignment="1">
      <alignment horizontal="left" vertical="center"/>
    </xf>
    <xf numFmtId="0" fontId="29" fillId="0" borderId="62" xfId="0" applyFont="1" applyBorder="1" applyAlignment="1">
      <alignment horizontal="left" vertical="center"/>
    </xf>
    <xf numFmtId="9" fontId="25" fillId="0" borderId="64" xfId="119" applyFont="1" applyFill="1" applyBorder="1" applyAlignment="1">
      <alignment horizontal="center" vertical="center"/>
    </xf>
    <xf numFmtId="178" fontId="25" fillId="0" borderId="7" xfId="2" applyNumberFormat="1" applyFont="1" applyFill="1" applyBorder="1" applyAlignment="1">
      <alignment horizontal="center" vertical="center"/>
    </xf>
    <xf numFmtId="178" fontId="28" fillId="0" borderId="7" xfId="2" applyNumberFormat="1" applyFont="1" applyBorder="1" applyAlignment="1">
      <alignment horizontal="center" vertical="center"/>
    </xf>
    <xf numFmtId="178" fontId="28" fillId="0" borderId="8" xfId="2" applyNumberFormat="1" applyFont="1" applyBorder="1" applyAlignment="1">
      <alignment horizontal="center" vertical="center"/>
    </xf>
    <xf numFmtId="0" fontId="22" fillId="0" borderId="49" xfId="0" applyFont="1" applyBorder="1" applyAlignment="1">
      <alignment horizontal="center" vertical="center"/>
    </xf>
    <xf numFmtId="43" fontId="22" fillId="0" borderId="26" xfId="2" applyNumberFormat="1" applyFont="1" applyBorder="1" applyAlignment="1">
      <alignment vertical="center"/>
    </xf>
    <xf numFmtId="43" fontId="22" fillId="0" borderId="27" xfId="2" applyNumberFormat="1" applyFont="1" applyBorder="1" applyAlignment="1">
      <alignment vertical="center"/>
    </xf>
    <xf numFmtId="0" fontId="73" fillId="10" borderId="52" xfId="0" applyFont="1" applyFill="1" applyBorder="1" applyAlignment="1">
      <alignment horizontal="center" vertical="center"/>
    </xf>
    <xf numFmtId="43" fontId="73" fillId="10" borderId="11" xfId="2" applyNumberFormat="1" applyFont="1" applyFill="1" applyBorder="1" applyAlignment="1">
      <alignment vertical="center"/>
    </xf>
    <xf numFmtId="43" fontId="73" fillId="10" borderId="12" xfId="2" applyNumberFormat="1" applyFont="1" applyFill="1" applyBorder="1" applyAlignment="1">
      <alignment vertical="center"/>
    </xf>
    <xf numFmtId="0" fontId="22" fillId="0" borderId="52" xfId="0" applyFont="1" applyBorder="1" applyAlignment="1">
      <alignment horizontal="center" vertical="center"/>
    </xf>
    <xf numFmtId="43" fontId="22" fillId="0" borderId="11" xfId="2" applyNumberFormat="1" applyFont="1" applyBorder="1" applyAlignment="1">
      <alignment vertical="center"/>
    </xf>
    <xf numFmtId="43" fontId="22" fillId="0" borderId="12" xfId="2" applyNumberFormat="1" applyFont="1" applyBorder="1" applyAlignment="1">
      <alignment vertical="center"/>
    </xf>
    <xf numFmtId="43" fontId="22" fillId="0" borderId="11" xfId="2" applyNumberFormat="1" applyFont="1" applyBorder="1" applyAlignment="1">
      <alignment horizontal="right" vertical="center"/>
    </xf>
    <xf numFmtId="9" fontId="25" fillId="0" borderId="54" xfId="119" applyFont="1" applyBorder="1" applyAlignment="1">
      <alignment horizontal="center" vertical="center"/>
    </xf>
    <xf numFmtId="43" fontId="25" fillId="0" borderId="41" xfId="2" applyNumberFormat="1" applyFont="1" applyFill="1" applyBorder="1" applyAlignment="1">
      <alignment horizontal="right" vertical="center"/>
    </xf>
    <xf numFmtId="43" fontId="25" fillId="0" borderId="42" xfId="2" applyNumberFormat="1" applyFont="1" applyFill="1" applyBorder="1" applyAlignment="1">
      <alignment horizontal="right" vertical="center"/>
    </xf>
    <xf numFmtId="0" fontId="67" fillId="0" borderId="24" xfId="0" applyFont="1" applyBorder="1" applyAlignment="1">
      <alignment horizontal="center" vertical="center"/>
    </xf>
    <xf numFmtId="0" fontId="66" fillId="0" borderId="32" xfId="0" applyFont="1" applyBorder="1" applyAlignment="1">
      <alignment horizontal="left" vertical="center"/>
    </xf>
    <xf numFmtId="0" fontId="69" fillId="0" borderId="0" xfId="0" applyFont="1" applyBorder="1" applyAlignment="1">
      <alignment vertical="center"/>
    </xf>
    <xf numFmtId="0" fontId="69" fillId="0" borderId="71" xfId="0" applyFont="1" applyBorder="1" applyAlignment="1">
      <alignment vertical="center"/>
    </xf>
    <xf numFmtId="0" fontId="66" fillId="0" borderId="32" xfId="0" applyFont="1" applyFill="1" applyBorder="1" applyAlignment="1">
      <alignment horizontal="center" vertical="center" wrapText="1"/>
    </xf>
    <xf numFmtId="0" fontId="66" fillId="0" borderId="0" xfId="0" applyFont="1" applyFill="1" applyBorder="1" applyAlignment="1">
      <alignment horizontal="center" vertical="center"/>
    </xf>
    <xf numFmtId="0" fontId="62" fillId="0" borderId="0" xfId="0" applyFont="1" applyBorder="1" applyAlignment="1">
      <alignment vertical="center"/>
    </xf>
    <xf numFmtId="0" fontId="62" fillId="0" borderId="71" xfId="0" applyFont="1" applyBorder="1" applyAlignment="1">
      <alignment vertical="center"/>
    </xf>
    <xf numFmtId="0" fontId="66" fillId="0" borderId="0" xfId="0" applyFont="1" applyFill="1" applyBorder="1" applyAlignment="1">
      <alignment horizontal="center" vertical="center" wrapText="1"/>
    </xf>
    <xf numFmtId="0" fontId="62" fillId="0" borderId="32" xfId="0" applyFont="1" applyBorder="1" applyAlignment="1">
      <alignment horizontal="center" vertical="center"/>
    </xf>
    <xf numFmtId="2" fontId="62" fillId="0" borderId="0" xfId="0" applyNumberFormat="1" applyFont="1" applyBorder="1" applyAlignment="1">
      <alignment horizontal="center" vertical="center"/>
    </xf>
    <xf numFmtId="0" fontId="74" fillId="10" borderId="32" xfId="0" applyFont="1" applyFill="1" applyBorder="1" applyAlignment="1">
      <alignment horizontal="center" vertical="center"/>
    </xf>
    <xf numFmtId="2" fontId="74" fillId="10" borderId="0" xfId="0" applyNumberFormat="1" applyFont="1" applyFill="1" applyBorder="1" applyAlignment="1">
      <alignment horizontal="center" vertical="center"/>
    </xf>
    <xf numFmtId="2" fontId="66" fillId="0" borderId="0" xfId="0" applyNumberFormat="1" applyFont="1" applyBorder="1" applyAlignment="1">
      <alignment horizontal="center" vertical="center"/>
    </xf>
    <xf numFmtId="2" fontId="75" fillId="10" borderId="0" xfId="0" applyNumberFormat="1" applyFont="1" applyFill="1" applyBorder="1" applyAlignment="1">
      <alignment horizontal="center" vertical="center"/>
    </xf>
    <xf numFmtId="2" fontId="66" fillId="0" borderId="1" xfId="0" applyNumberFormat="1" applyFont="1" applyBorder="1" applyAlignment="1">
      <alignment horizontal="center" vertical="center"/>
    </xf>
    <xf numFmtId="0" fontId="62" fillId="0" borderId="0" xfId="0" applyFont="1" applyBorder="1" applyAlignment="1">
      <alignment horizontal="center" vertical="center"/>
    </xf>
    <xf numFmtId="0" fontId="76" fillId="0" borderId="0" xfId="0" applyFont="1" applyBorder="1" applyAlignment="1">
      <alignment horizontal="center" vertical="center" wrapText="1"/>
    </xf>
    <xf numFmtId="0" fontId="62" fillId="0" borderId="33" xfId="0" applyFont="1" applyFill="1" applyBorder="1" applyAlignment="1">
      <alignment vertical="center"/>
    </xf>
    <xf numFmtId="0" fontId="62" fillId="0" borderId="58" xfId="0" applyFont="1" applyFill="1" applyBorder="1" applyAlignment="1">
      <alignment vertical="center"/>
    </xf>
    <xf numFmtId="0" fontId="62" fillId="0" borderId="68" xfId="0" applyFont="1" applyFill="1" applyBorder="1" applyAlignment="1">
      <alignment vertical="center"/>
    </xf>
    <xf numFmtId="0" fontId="62" fillId="0" borderId="0" xfId="0" applyFont="1" applyFill="1" applyBorder="1" applyAlignment="1">
      <alignment vertical="center"/>
    </xf>
    <xf numFmtId="0" fontId="66" fillId="0" borderId="32" xfId="0" applyFont="1" applyFill="1" applyBorder="1" applyAlignment="1">
      <alignment horizontal="left" vertical="center"/>
    </xf>
    <xf numFmtId="0" fontId="66" fillId="0" borderId="0" xfId="0" applyFont="1" applyFill="1" applyBorder="1" applyAlignment="1">
      <alignment horizontal="left" vertical="center"/>
    </xf>
    <xf numFmtId="0" fontId="62" fillId="0" borderId="71" xfId="0" applyFont="1" applyFill="1" applyBorder="1" applyAlignment="1">
      <alignment vertical="center"/>
    </xf>
    <xf numFmtId="0" fontId="62" fillId="0" borderId="61" xfId="0" applyFont="1" applyFill="1" applyBorder="1" applyAlignment="1">
      <alignment horizontal="left" vertical="center"/>
    </xf>
    <xf numFmtId="0" fontId="62" fillId="0" borderId="43" xfId="0" applyFont="1" applyFill="1" applyBorder="1" applyAlignment="1">
      <alignment horizontal="left" vertical="center"/>
    </xf>
    <xf numFmtId="0" fontId="62" fillId="0" borderId="43" xfId="0" applyFont="1" applyFill="1" applyBorder="1" applyAlignment="1">
      <alignment vertical="center"/>
    </xf>
    <xf numFmtId="0" fontId="62" fillId="0" borderId="66" xfId="0" applyFont="1" applyFill="1" applyBorder="1" applyAlignment="1">
      <alignment vertical="center"/>
    </xf>
    <xf numFmtId="0" fontId="66" fillId="0" borderId="49" xfId="0" applyFont="1" applyFill="1" applyBorder="1" applyAlignment="1">
      <alignment horizontal="center" vertical="center"/>
    </xf>
    <xf numFmtId="0" fontId="66" fillId="0" borderId="24" xfId="0" applyFont="1" applyFill="1" applyBorder="1" applyAlignment="1">
      <alignment horizontal="center" vertical="center"/>
    </xf>
    <xf numFmtId="0" fontId="66" fillId="0" borderId="50" xfId="0" applyFont="1" applyFill="1" applyBorder="1" applyAlignment="1">
      <alignment horizontal="center" vertical="center"/>
    </xf>
    <xf numFmtId="0" fontId="62" fillId="0" borderId="32" xfId="0" applyFont="1" applyFill="1" applyBorder="1" applyAlignment="1">
      <alignment horizontal="left" vertical="center"/>
    </xf>
    <xf numFmtId="2" fontId="62" fillId="0" borderId="0" xfId="0" applyNumberFormat="1" applyFont="1" applyFill="1" applyBorder="1" applyAlignment="1">
      <alignment vertical="center"/>
    </xf>
    <xf numFmtId="2" fontId="62" fillId="0" borderId="0" xfId="0" applyNumberFormat="1" applyFont="1" applyFill="1" applyBorder="1" applyAlignment="1">
      <alignment horizontal="right" vertical="center"/>
    </xf>
    <xf numFmtId="2" fontId="62" fillId="0" borderId="71" xfId="0" applyNumberFormat="1" applyFont="1" applyFill="1" applyBorder="1" applyAlignment="1">
      <alignment vertical="center"/>
    </xf>
    <xf numFmtId="0" fontId="62" fillId="10" borderId="32" xfId="0" applyFont="1" applyFill="1" applyBorder="1" applyAlignment="1">
      <alignment horizontal="left" vertical="center"/>
    </xf>
    <xf numFmtId="2" fontId="62" fillId="10" borderId="0" xfId="0" applyNumberFormat="1" applyFont="1" applyFill="1" applyBorder="1" applyAlignment="1">
      <alignment vertical="center"/>
    </xf>
    <xf numFmtId="2" fontId="62" fillId="10" borderId="0" xfId="0" applyNumberFormat="1" applyFont="1" applyFill="1" applyBorder="1" applyAlignment="1">
      <alignment horizontal="right" vertical="center"/>
    </xf>
    <xf numFmtId="2" fontId="62" fillId="10" borderId="71" xfId="0" applyNumberFormat="1" applyFont="1" applyFill="1" applyBorder="1" applyAlignment="1">
      <alignment horizontal="right" vertical="center"/>
    </xf>
    <xf numFmtId="2" fontId="62" fillId="0" borderId="71" xfId="0" applyNumberFormat="1" applyFont="1" applyFill="1" applyBorder="1" applyAlignment="1">
      <alignment horizontal="right" vertical="center"/>
    </xf>
    <xf numFmtId="0" fontId="62" fillId="10" borderId="49" xfId="0" applyFont="1" applyFill="1" applyBorder="1" applyAlignment="1">
      <alignment horizontal="left" vertical="center"/>
    </xf>
    <xf numFmtId="2" fontId="62" fillId="10" borderId="24" xfId="0" applyNumberFormat="1" applyFont="1" applyFill="1" applyBorder="1" applyAlignment="1">
      <alignment vertical="center"/>
    </xf>
    <xf numFmtId="2" fontId="62" fillId="10" borderId="24" xfId="0" applyNumberFormat="1" applyFont="1" applyFill="1" applyBorder="1" applyAlignment="1">
      <alignment horizontal="right" vertical="center"/>
    </xf>
    <xf numFmtId="2" fontId="62" fillId="10" borderId="50" xfId="0" applyNumberFormat="1" applyFont="1" applyFill="1" applyBorder="1" applyAlignment="1">
      <alignment horizontal="right" vertical="center"/>
    </xf>
    <xf numFmtId="0" fontId="62" fillId="0" borderId="32" xfId="0" applyFont="1" applyBorder="1" applyAlignment="1">
      <alignment horizontal="left" vertical="center"/>
    </xf>
    <xf numFmtId="0" fontId="62" fillId="0" borderId="0" xfId="0" applyFont="1" applyAlignment="1">
      <alignment vertical="center"/>
    </xf>
    <xf numFmtId="0" fontId="62" fillId="0" borderId="62" xfId="0" applyFont="1" applyBorder="1" applyAlignment="1">
      <alignment horizontal="left" vertical="center"/>
    </xf>
    <xf numFmtId="0" fontId="62" fillId="0" borderId="63" xfId="0" applyFont="1" applyFill="1" applyBorder="1" applyAlignment="1">
      <alignment vertical="center"/>
    </xf>
    <xf numFmtId="2" fontId="62" fillId="0" borderId="38" xfId="0" applyNumberFormat="1" applyFont="1" applyFill="1" applyBorder="1" applyAlignment="1">
      <alignment vertical="center"/>
    </xf>
    <xf numFmtId="0" fontId="69" fillId="0" borderId="33" xfId="0" applyFont="1" applyBorder="1" applyAlignment="1">
      <alignment vertical="center"/>
    </xf>
    <xf numFmtId="0" fontId="69" fillId="0" borderId="58" xfId="0" applyFont="1" applyBorder="1" applyAlignment="1">
      <alignment vertical="center"/>
    </xf>
    <xf numFmtId="0" fontId="69" fillId="0" borderId="68" xfId="0" applyFont="1" applyBorder="1" applyAlignment="1">
      <alignment vertical="center"/>
    </xf>
    <xf numFmtId="0" fontId="66" fillId="0" borderId="0" xfId="0" applyFont="1" applyBorder="1" applyAlignment="1">
      <alignment horizontal="left" vertical="center"/>
    </xf>
    <xf numFmtId="0" fontId="77" fillId="0" borderId="33" xfId="0" applyFont="1" applyFill="1" applyBorder="1" applyAlignment="1">
      <alignment vertical="center"/>
    </xf>
    <xf numFmtId="0" fontId="62" fillId="0" borderId="58" xfId="0" applyFont="1" applyFill="1" applyBorder="1" applyAlignment="1">
      <alignment horizontal="right" vertical="center"/>
    </xf>
    <xf numFmtId="0" fontId="66" fillId="0" borderId="58" xfId="0" applyFont="1" applyFill="1" applyBorder="1" applyAlignment="1">
      <alignment horizontal="right" vertical="center"/>
    </xf>
    <xf numFmtId="0" fontId="66" fillId="0" borderId="68" xfId="0" applyFont="1" applyFill="1" applyBorder="1" applyAlignment="1">
      <alignment horizontal="right" vertical="center"/>
    </xf>
    <xf numFmtId="0" fontId="66" fillId="0" borderId="76" xfId="0" applyFont="1" applyFill="1" applyBorder="1" applyAlignment="1">
      <alignment horizontal="center" vertical="center"/>
    </xf>
    <xf numFmtId="0" fontId="66" fillId="0" borderId="77" xfId="0" applyFont="1" applyFill="1" applyBorder="1" applyAlignment="1">
      <alignment horizontal="center" vertical="center"/>
    </xf>
    <xf numFmtId="0" fontId="66" fillId="0" borderId="78" xfId="0" applyFont="1" applyFill="1" applyBorder="1" applyAlignment="1">
      <alignment horizontal="center" vertical="center"/>
    </xf>
    <xf numFmtId="0" fontId="62" fillId="0" borderId="32" xfId="0" applyFont="1" applyBorder="1" applyAlignment="1">
      <alignment vertical="center"/>
    </xf>
    <xf numFmtId="2" fontId="62" fillId="0" borderId="0" xfId="0" applyNumberFormat="1" applyFont="1" applyBorder="1" applyAlignment="1">
      <alignment vertical="center"/>
    </xf>
    <xf numFmtId="2" fontId="62" fillId="0" borderId="71" xfId="0" applyNumberFormat="1" applyFont="1" applyBorder="1" applyAlignment="1">
      <alignment vertical="center"/>
    </xf>
    <xf numFmtId="0" fontId="74" fillId="10" borderId="32" xfId="0" applyFont="1" applyFill="1" applyBorder="1" applyAlignment="1">
      <alignment vertical="center"/>
    </xf>
    <xf numFmtId="2" fontId="74" fillId="10" borderId="0" xfId="0" applyNumberFormat="1" applyFont="1" applyFill="1" applyBorder="1" applyAlignment="1">
      <alignment vertical="center"/>
    </xf>
    <xf numFmtId="2" fontId="74" fillId="10" borderId="71" xfId="0" applyNumberFormat="1" applyFont="1" applyFill="1" applyBorder="1" applyAlignment="1">
      <alignment vertical="center"/>
    </xf>
    <xf numFmtId="0" fontId="62" fillId="0" borderId="0" xfId="0" applyFont="1" applyFill="1" applyAlignment="1">
      <alignment vertical="center"/>
    </xf>
    <xf numFmtId="2" fontId="62" fillId="0" borderId="0" xfId="0" applyNumberFormat="1" applyFont="1" applyBorder="1" applyAlignment="1">
      <alignment horizontal="right" vertical="center"/>
    </xf>
    <xf numFmtId="0" fontId="52" fillId="0" borderId="26" xfId="1" applyNumberFormat="1" applyFont="1" applyFill="1" applyBorder="1" applyAlignment="1" applyProtection="1">
      <alignment horizontal="left"/>
    </xf>
    <xf numFmtId="0" fontId="52" fillId="0" borderId="26" xfId="1" applyFont="1" applyFill="1" applyBorder="1" applyProtection="1"/>
    <xf numFmtId="178" fontId="52" fillId="0" borderId="26" xfId="1" applyNumberFormat="1" applyFont="1" applyFill="1" applyBorder="1" applyAlignment="1" applyProtection="1">
      <alignment horizontal="center" vertical="center" wrapText="1"/>
    </xf>
    <xf numFmtId="43" fontId="52" fillId="7" borderId="26" xfId="1" applyNumberFormat="1" applyFont="1" applyFill="1" applyBorder="1" applyAlignment="1" applyProtection="1">
      <alignment horizontal="center" vertical="center" wrapText="1"/>
    </xf>
    <xf numFmtId="164" fontId="52" fillId="0" borderId="26" xfId="1" applyNumberFormat="1" applyFont="1" applyFill="1" applyBorder="1" applyAlignment="1" applyProtection="1">
      <alignment horizontal="center" vertical="center" wrapText="1"/>
    </xf>
    <xf numFmtId="178" fontId="26" fillId="0" borderId="3" xfId="2" applyNumberFormat="1" applyFont="1" applyFill="1" applyBorder="1" applyAlignment="1" applyProtection="1">
      <alignment horizontal="center" vertical="center" wrapText="1"/>
    </xf>
    <xf numFmtId="43" fontId="26" fillId="0" borderId="3" xfId="2" applyFont="1" applyFill="1" applyBorder="1" applyAlignment="1" applyProtection="1">
      <alignment horizontal="center" vertical="center" wrapText="1"/>
    </xf>
    <xf numFmtId="164" fontId="26" fillId="0" borderId="3" xfId="3" applyNumberFormat="1" applyFont="1" applyFill="1" applyBorder="1" applyAlignment="1" applyProtection="1">
      <alignment horizontal="center" vertical="center" wrapText="1"/>
    </xf>
    <xf numFmtId="164" fontId="26" fillId="0" borderId="4" xfId="3" applyNumberFormat="1" applyFont="1" applyFill="1" applyBorder="1" applyAlignment="1" applyProtection="1">
      <alignment horizontal="center" vertical="center" wrapText="1"/>
    </xf>
    <xf numFmtId="178" fontId="52" fillId="0" borderId="47" xfId="1" applyNumberFormat="1" applyFont="1" applyFill="1" applyBorder="1" applyAlignment="1" applyProtection="1">
      <alignment horizontal="left"/>
    </xf>
    <xf numFmtId="164" fontId="52" fillId="0" borderId="27" xfId="1" applyNumberFormat="1" applyFont="1" applyFill="1" applyBorder="1" applyAlignment="1" applyProtection="1">
      <alignment horizontal="center" vertical="center" wrapText="1"/>
    </xf>
    <xf numFmtId="178" fontId="27" fillId="0" borderId="47" xfId="2" applyNumberFormat="1" applyFont="1" applyFill="1" applyBorder="1" applyAlignment="1" applyProtection="1">
      <alignment horizontal="left"/>
    </xf>
    <xf numFmtId="164" fontId="52" fillId="0" borderId="12" xfId="1" applyNumberFormat="1" applyFont="1" applyFill="1" applyBorder="1" applyAlignment="1" applyProtection="1">
      <alignment horizontal="center" vertical="center" wrapText="1"/>
    </xf>
    <xf numFmtId="178" fontId="27" fillId="0" borderId="25" xfId="2" applyNumberFormat="1" applyFont="1" applyFill="1" applyBorder="1" applyAlignment="1" applyProtection="1">
      <alignment horizontal="left"/>
    </xf>
    <xf numFmtId="164" fontId="26" fillId="0" borderId="12" xfId="3" applyNumberFormat="1" applyFont="1" applyFill="1" applyBorder="1" applyProtection="1"/>
    <xf numFmtId="178" fontId="27" fillId="0" borderId="67" xfId="2" applyNumberFormat="1" applyFont="1" applyFill="1" applyBorder="1" applyAlignment="1" applyProtection="1">
      <alignment horizontal="left"/>
    </xf>
    <xf numFmtId="178" fontId="52" fillId="0" borderId="25" xfId="1" applyNumberFormat="1" applyFont="1" applyFill="1" applyBorder="1" applyAlignment="1" applyProtection="1">
      <alignment horizontal="left"/>
    </xf>
    <xf numFmtId="178" fontId="27" fillId="0" borderId="51" xfId="2" applyNumberFormat="1" applyFont="1" applyFill="1" applyBorder="1" applyAlignment="1" applyProtection="1">
      <alignment horizontal="left"/>
    </xf>
    <xf numFmtId="0" fontId="27" fillId="0" borderId="40" xfId="0" applyFont="1" applyFill="1" applyBorder="1" applyAlignment="1" applyProtection="1">
      <alignment horizontal="left"/>
    </xf>
    <xf numFmtId="0" fontId="27" fillId="0" borderId="41" xfId="0" applyFont="1" applyFill="1" applyBorder="1" applyProtection="1"/>
    <xf numFmtId="43" fontId="26" fillId="0" borderId="41" xfId="2" applyNumberFormat="1" applyFont="1" applyFill="1" applyBorder="1" applyAlignment="1" applyProtection="1">
      <alignment horizontal="center" vertical="center" wrapText="1"/>
    </xf>
    <xf numFmtId="178" fontId="26" fillId="0" borderId="41" xfId="2" applyNumberFormat="1" applyFont="1" applyFill="1" applyBorder="1" applyAlignment="1" applyProtection="1">
      <alignment horizontal="center" vertical="center" wrapText="1"/>
    </xf>
    <xf numFmtId="164" fontId="26" fillId="0" borderId="41" xfId="3" applyNumberFormat="1" applyFont="1" applyFill="1" applyBorder="1" applyAlignment="1" applyProtection="1">
      <alignment horizontal="center" vertical="center" wrapText="1"/>
    </xf>
    <xf numFmtId="164" fontId="52" fillId="0" borderId="42" xfId="1" applyNumberFormat="1" applyFont="1" applyFill="1" applyBorder="1" applyAlignment="1" applyProtection="1">
      <alignment horizontal="center" vertical="center" wrapText="1"/>
    </xf>
    <xf numFmtId="0" fontId="66" fillId="19" borderId="48" xfId="0" applyFont="1" applyFill="1" applyBorder="1" applyAlignment="1">
      <alignment horizontal="center" vertical="center"/>
    </xf>
    <xf numFmtId="0" fontId="29" fillId="0" borderId="75" xfId="0" applyFont="1" applyBorder="1" applyAlignment="1">
      <alignment vertical="center"/>
    </xf>
    <xf numFmtId="10" fontId="62" fillId="18" borderId="46" xfId="119" applyNumberFormat="1" applyFont="1" applyFill="1" applyBorder="1" applyAlignment="1">
      <alignment horizontal="center" vertical="center"/>
    </xf>
    <xf numFmtId="10" fontId="62" fillId="18" borderId="56" xfId="119" applyNumberFormat="1" applyFont="1" applyFill="1" applyBorder="1" applyAlignment="1">
      <alignment horizontal="center" vertical="center"/>
    </xf>
    <xf numFmtId="0" fontId="62" fillId="0" borderId="47" xfId="0" applyFont="1" applyBorder="1" applyAlignment="1">
      <alignment horizontal="center" vertical="center"/>
    </xf>
    <xf numFmtId="10" fontId="62" fillId="0" borderId="26" xfId="119" applyNumberFormat="1" applyFont="1" applyBorder="1" applyAlignment="1">
      <alignment horizontal="center" vertical="center"/>
    </xf>
    <xf numFmtId="10" fontId="62" fillId="18" borderId="12" xfId="119" applyNumberFormat="1" applyFont="1" applyFill="1" applyBorder="1" applyAlignment="1">
      <alignment horizontal="right" vertical="center"/>
    </xf>
    <xf numFmtId="10" fontId="62" fillId="0" borderId="27" xfId="119" applyNumberFormat="1" applyFont="1" applyBorder="1" applyAlignment="1">
      <alignment horizontal="right" vertical="center"/>
    </xf>
    <xf numFmtId="10" fontId="62" fillId="0" borderId="12" xfId="119" applyNumberFormat="1" applyFont="1" applyBorder="1" applyAlignment="1">
      <alignment horizontal="right" vertical="center"/>
    </xf>
    <xf numFmtId="10" fontId="62" fillId="18" borderId="42" xfId="119" applyNumberFormat="1" applyFont="1" applyFill="1" applyBorder="1" applyAlignment="1">
      <alignment horizontal="right" vertical="center"/>
    </xf>
    <xf numFmtId="9" fontId="29" fillId="0" borderId="0" xfId="0" applyNumberFormat="1" applyFont="1" applyAlignment="1">
      <alignment vertical="center"/>
    </xf>
    <xf numFmtId="192" fontId="27" fillId="4" borderId="11" xfId="119" applyNumberFormat="1" applyFont="1" applyFill="1" applyBorder="1" applyAlignment="1">
      <alignment horizontal="center" vertical="center" wrapText="1"/>
    </xf>
    <xf numFmtId="192" fontId="27" fillId="7" borderId="11" xfId="119" applyNumberFormat="1" applyFont="1" applyFill="1" applyBorder="1" applyAlignment="1">
      <alignment horizontal="center" vertical="center" wrapText="1"/>
    </xf>
    <xf numFmtId="192" fontId="27" fillId="7" borderId="41" xfId="119" applyNumberFormat="1" applyFont="1" applyFill="1" applyBorder="1" applyAlignment="1">
      <alignment horizontal="center" vertical="center" wrapText="1"/>
    </xf>
    <xf numFmtId="0" fontId="78" fillId="0" borderId="0" xfId="0" applyFont="1" applyAlignment="1">
      <alignment horizontal="center" vertical="center"/>
    </xf>
    <xf numFmtId="0" fontId="29" fillId="0" borderId="0" xfId="0" applyFont="1"/>
    <xf numFmtId="164" fontId="54" fillId="0" borderId="11" xfId="3" applyNumberFormat="1" applyFont="1" applyBorder="1"/>
    <xf numFmtId="164" fontId="54" fillId="0" borderId="11" xfId="0" applyNumberFormat="1" applyFont="1" applyBorder="1"/>
    <xf numFmtId="164" fontId="54" fillId="0" borderId="12" xfId="3" applyNumberFormat="1" applyFont="1" applyBorder="1"/>
    <xf numFmtId="164" fontId="54" fillId="0" borderId="41" xfId="0" applyNumberFormat="1" applyFont="1" applyBorder="1"/>
    <xf numFmtId="164" fontId="54" fillId="0" borderId="42" xfId="3" applyNumberFormat="1" applyFont="1" applyBorder="1"/>
    <xf numFmtId="0" fontId="54" fillId="0" borderId="47" xfId="0" applyFont="1" applyBorder="1"/>
    <xf numFmtId="164" fontId="54" fillId="0" borderId="26" xfId="3" applyNumberFormat="1" applyFont="1" applyBorder="1"/>
    <xf numFmtId="164" fontId="54" fillId="0" borderId="26" xfId="0" applyNumberFormat="1" applyFont="1" applyBorder="1"/>
    <xf numFmtId="164" fontId="54" fillId="0" borderId="27" xfId="3" applyNumberFormat="1" applyFont="1" applyBorder="1"/>
    <xf numFmtId="0" fontId="52" fillId="0" borderId="30"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164" fontId="31" fillId="0" borderId="1" xfId="3" applyNumberFormat="1" applyFont="1" applyBorder="1"/>
    <xf numFmtId="0" fontId="61" fillId="0" borderId="0" xfId="0" applyNumberFormat="1" applyFont="1" applyBorder="1" applyAlignment="1">
      <alignment horizontal="center" vertical="center" wrapText="1"/>
    </xf>
    <xf numFmtId="0" fontId="60" fillId="0" borderId="33" xfId="0" applyFont="1" applyBorder="1" applyAlignment="1">
      <alignment vertical="center"/>
    </xf>
    <xf numFmtId="0" fontId="60" fillId="0" borderId="58" xfId="0" applyFont="1" applyBorder="1" applyAlignment="1">
      <alignment vertical="center"/>
    </xf>
    <xf numFmtId="0" fontId="60" fillId="0" borderId="68" xfId="0" applyFont="1" applyBorder="1" applyAlignment="1">
      <alignment vertical="center"/>
    </xf>
    <xf numFmtId="0" fontId="60" fillId="0" borderId="32" xfId="0" applyFont="1" applyBorder="1" applyAlignment="1">
      <alignment vertical="center"/>
    </xf>
    <xf numFmtId="0" fontId="61" fillId="0" borderId="71" xfId="0" applyNumberFormat="1" applyFont="1" applyBorder="1" applyAlignment="1">
      <alignment horizontal="center" vertical="center" wrapText="1"/>
    </xf>
    <xf numFmtId="0" fontId="60" fillId="0" borderId="0" xfId="0" applyFont="1" applyBorder="1" applyAlignment="1">
      <alignment vertical="center"/>
    </xf>
    <xf numFmtId="0" fontId="60" fillId="0" borderId="71" xfId="0" applyFont="1" applyBorder="1" applyAlignment="1">
      <alignment vertical="center"/>
    </xf>
    <xf numFmtId="0" fontId="60" fillId="0" borderId="62" xfId="0" applyFont="1" applyBorder="1" applyAlignment="1">
      <alignment vertical="center"/>
    </xf>
    <xf numFmtId="0" fontId="60" fillId="0" borderId="63" xfId="0" applyFont="1" applyBorder="1" applyAlignment="1">
      <alignment vertical="center"/>
    </xf>
    <xf numFmtId="0" fontId="60" fillId="0" borderId="38" xfId="0" applyFont="1" applyBorder="1" applyAlignment="1">
      <alignment vertical="center"/>
    </xf>
    <xf numFmtId="0" fontId="79" fillId="0" borderId="0" xfId="5" quotePrefix="1" applyFont="1" applyBorder="1" applyAlignment="1" applyProtection="1">
      <alignment horizontal="left" vertical="center" indent="2"/>
    </xf>
    <xf numFmtId="0" fontId="60" fillId="0" borderId="35" xfId="0" applyFont="1" applyBorder="1" applyAlignment="1">
      <alignment vertical="center"/>
    </xf>
    <xf numFmtId="0" fontId="60" fillId="0" borderId="10" xfId="0" applyFont="1" applyBorder="1" applyAlignment="1">
      <alignment vertical="center"/>
    </xf>
    <xf numFmtId="0" fontId="60" fillId="0" borderId="24" xfId="0" applyFont="1" applyBorder="1" applyAlignment="1">
      <alignment vertical="center"/>
    </xf>
    <xf numFmtId="0" fontId="60" fillId="0" borderId="44" xfId="0" applyFont="1" applyBorder="1" applyAlignment="1">
      <alignment vertical="center"/>
    </xf>
    <xf numFmtId="0" fontId="60" fillId="0" borderId="52" xfId="0" applyFont="1" applyBorder="1" applyAlignment="1">
      <alignment vertical="center"/>
    </xf>
    <xf numFmtId="164" fontId="60" fillId="0" borderId="12" xfId="3" applyNumberFormat="1" applyFont="1" applyBorder="1" applyAlignment="1">
      <alignment vertical="center"/>
    </xf>
    <xf numFmtId="0" fontId="80" fillId="0" borderId="52" xfId="0" applyFont="1" applyBorder="1" applyAlignment="1">
      <alignment vertical="center"/>
    </xf>
    <xf numFmtId="164" fontId="80" fillId="0" borderId="12" xfId="3" applyNumberFormat="1" applyFont="1" applyBorder="1" applyAlignment="1">
      <alignment vertical="center"/>
    </xf>
    <xf numFmtId="0" fontId="80" fillId="0" borderId="54" xfId="0" applyFont="1" applyBorder="1" applyAlignment="1">
      <alignment vertical="center"/>
    </xf>
    <xf numFmtId="0" fontId="60" fillId="0" borderId="37" xfId="0" applyFont="1" applyBorder="1" applyAlignment="1">
      <alignment vertical="center"/>
    </xf>
    <xf numFmtId="0" fontId="60" fillId="0" borderId="57" xfId="0" applyFont="1" applyBorder="1" applyAlignment="1">
      <alignment vertical="center"/>
    </xf>
    <xf numFmtId="164" fontId="80" fillId="0" borderId="42" xfId="3" applyNumberFormat="1" applyFont="1" applyBorder="1" applyAlignment="1">
      <alignment vertical="center"/>
    </xf>
    <xf numFmtId="0" fontId="60" fillId="0" borderId="49" xfId="0" applyFont="1" applyBorder="1" applyAlignment="1">
      <alignment vertical="center"/>
    </xf>
    <xf numFmtId="164" fontId="60" fillId="0" borderId="27" xfId="3" applyNumberFormat="1" applyFont="1" applyBorder="1" applyAlignment="1">
      <alignment vertical="center"/>
    </xf>
    <xf numFmtId="0" fontId="80" fillId="0" borderId="4" xfId="0" applyFont="1" applyBorder="1" applyAlignment="1">
      <alignment horizontal="center" vertical="center"/>
    </xf>
    <xf numFmtId="0" fontId="80" fillId="0" borderId="63" xfId="0" applyFont="1" applyBorder="1" applyAlignment="1">
      <alignment vertical="center"/>
    </xf>
    <xf numFmtId="164" fontId="80" fillId="0" borderId="63" xfId="3" applyNumberFormat="1" applyFont="1" applyBorder="1" applyAlignment="1">
      <alignment vertical="center"/>
    </xf>
    <xf numFmtId="0" fontId="32" fillId="0" borderId="67" xfId="85" applyFont="1" applyBorder="1" applyAlignment="1">
      <alignment horizontal="center" wrapText="1"/>
    </xf>
    <xf numFmtId="0" fontId="28" fillId="7" borderId="8" xfId="0" applyFont="1" applyFill="1" applyBorder="1" applyAlignment="1">
      <alignment horizontal="center" vertical="center"/>
    </xf>
    <xf numFmtId="0" fontId="29" fillId="0" borderId="12" xfId="0" applyFont="1" applyBorder="1" applyAlignment="1">
      <alignment horizontal="center" vertical="center"/>
    </xf>
    <xf numFmtId="0" fontId="29" fillId="7" borderId="12" xfId="0" applyFont="1" applyFill="1" applyBorder="1" applyAlignment="1">
      <alignment horizontal="center" vertical="center"/>
    </xf>
    <xf numFmtId="0" fontId="29" fillId="7" borderId="42" xfId="0" applyFont="1" applyFill="1" applyBorder="1" applyAlignment="1">
      <alignment horizontal="center" vertical="center"/>
    </xf>
    <xf numFmtId="0" fontId="28" fillId="0" borderId="39" xfId="0" applyFont="1" applyBorder="1" applyAlignment="1">
      <alignment horizontal="left" vertical="center" indent="1"/>
    </xf>
    <xf numFmtId="181" fontId="29" fillId="0" borderId="57" xfId="2" applyNumberFormat="1" applyFont="1" applyBorder="1" applyAlignment="1">
      <alignment horizontal="center" vertical="center"/>
    </xf>
    <xf numFmtId="0" fontId="29" fillId="0" borderId="32" xfId="0" applyFont="1" applyBorder="1" applyAlignment="1">
      <alignment horizontal="center" vertical="center"/>
    </xf>
    <xf numFmtId="0" fontId="29" fillId="0" borderId="25" xfId="0" applyFont="1" applyBorder="1" applyAlignment="1">
      <alignment horizontal="left" vertical="center"/>
    </xf>
    <xf numFmtId="0" fontId="29" fillId="0" borderId="25" xfId="0" applyFont="1" applyBorder="1" applyAlignment="1">
      <alignment horizontal="left" vertical="center" wrapText="1"/>
    </xf>
    <xf numFmtId="0" fontId="29" fillId="0" borderId="40" xfId="0" applyFont="1" applyBorder="1" applyAlignment="1">
      <alignment horizontal="left" vertical="center"/>
    </xf>
    <xf numFmtId="194" fontId="29" fillId="0" borderId="71" xfId="0" applyNumberFormat="1" applyFont="1" applyBorder="1" applyAlignment="1">
      <alignment horizontal="center" vertical="center"/>
    </xf>
    <xf numFmtId="194" fontId="29" fillId="0" borderId="38" xfId="0" applyNumberFormat="1" applyFont="1" applyBorder="1" applyAlignment="1">
      <alignment horizontal="center" vertical="center"/>
    </xf>
    <xf numFmtId="0" fontId="29" fillId="0" borderId="71" xfId="0" applyFont="1" applyBorder="1" applyAlignment="1">
      <alignment horizontal="center" vertical="center"/>
    </xf>
    <xf numFmtId="0" fontId="3" fillId="0" borderId="35"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18" fillId="0" borderId="64" xfId="85" applyFont="1" applyFill="1" applyBorder="1" applyAlignment="1">
      <alignment horizontal="left" vertical="top" wrapText="1" indent="1"/>
    </xf>
    <xf numFmtId="0" fontId="18" fillId="0" borderId="52" xfId="85" applyFont="1" applyFill="1" applyBorder="1" applyAlignment="1">
      <alignment horizontal="left" vertical="top" wrapText="1" indent="1"/>
    </xf>
    <xf numFmtId="0" fontId="18" fillId="0" borderId="61" xfId="85" applyFont="1" applyFill="1" applyBorder="1" applyAlignment="1">
      <alignment horizontal="left" vertical="top" wrapText="1" indent="1"/>
    </xf>
    <xf numFmtId="9" fontId="29" fillId="0" borderId="8" xfId="0" applyNumberFormat="1" applyFont="1" applyBorder="1" applyAlignment="1">
      <alignment horizontal="center" vertical="center"/>
    </xf>
    <xf numFmtId="9" fontId="29" fillId="0" borderId="12" xfId="0" applyNumberFormat="1" applyFont="1" applyBorder="1" applyAlignment="1">
      <alignment horizontal="center" vertical="center"/>
    </xf>
    <xf numFmtId="9" fontId="29" fillId="0" borderId="42" xfId="0" applyNumberFormat="1" applyFont="1" applyBorder="1" applyAlignment="1">
      <alignment horizontal="center" vertical="center"/>
    </xf>
    <xf numFmtId="0" fontId="31" fillId="4" borderId="29" xfId="85" applyFont="1" applyFill="1" applyBorder="1" applyAlignment="1">
      <alignment horizontal="left" vertical="center" indent="3"/>
    </xf>
    <xf numFmtId="0" fontId="31" fillId="5" borderId="3" xfId="85" applyFont="1" applyFill="1" applyBorder="1" applyAlignment="1">
      <alignment horizontal="center" vertical="center" wrapText="1"/>
    </xf>
    <xf numFmtId="0" fontId="31" fillId="5" borderId="18" xfId="85" applyFont="1" applyFill="1" applyBorder="1" applyAlignment="1">
      <alignment horizontal="center" vertical="center" wrapText="1"/>
    </xf>
    <xf numFmtId="0" fontId="31" fillId="5" borderId="19" xfId="85" applyFont="1" applyFill="1" applyBorder="1" applyAlignment="1">
      <alignment horizontal="center" vertical="center" wrapText="1"/>
    </xf>
    <xf numFmtId="190" fontId="83" fillId="7" borderId="55" xfId="0" applyNumberFormat="1" applyFont="1" applyFill="1" applyBorder="1" applyAlignment="1">
      <alignment vertical="center"/>
    </xf>
    <xf numFmtId="0" fontId="83" fillId="0" borderId="11" xfId="0" applyFont="1" applyBorder="1" applyAlignment="1">
      <alignment horizontal="center" vertical="center"/>
    </xf>
    <xf numFmtId="0" fontId="83" fillId="0" borderId="11" xfId="0" applyFont="1" applyBorder="1" applyAlignment="1">
      <alignment vertical="center" wrapText="1"/>
    </xf>
    <xf numFmtId="173" fontId="83" fillId="7" borderId="11" xfId="0" applyNumberFormat="1" applyFont="1" applyFill="1" applyBorder="1" applyAlignment="1">
      <alignment horizontal="center" vertical="center"/>
    </xf>
    <xf numFmtId="173" fontId="83" fillId="0" borderId="11" xfId="0" applyNumberFormat="1" applyFont="1" applyFill="1" applyBorder="1" applyAlignment="1">
      <alignment horizontal="center" vertical="center"/>
    </xf>
    <xf numFmtId="0" fontId="56" fillId="0" borderId="0" xfId="0" applyFont="1" applyAlignment="1">
      <alignment vertical="center"/>
    </xf>
    <xf numFmtId="192" fontId="84" fillId="7" borderId="46" xfId="119" applyNumberFormat="1" applyFont="1" applyFill="1" applyBorder="1" applyAlignment="1">
      <alignment vertical="center"/>
    </xf>
    <xf numFmtId="0" fontId="71" fillId="0" borderId="11" xfId="1" applyFont="1" applyFill="1" applyBorder="1" applyProtection="1"/>
    <xf numFmtId="0" fontId="31" fillId="0" borderId="29" xfId="85" applyFont="1" applyBorder="1" applyAlignment="1">
      <alignment horizontal="left" indent="3"/>
    </xf>
    <xf numFmtId="183" fontId="84" fillId="0" borderId="0" xfId="120" applyNumberFormat="1" applyFont="1" applyBorder="1"/>
    <xf numFmtId="178" fontId="84" fillId="0" borderId="0" xfId="120" applyNumberFormat="1" applyFont="1" applyBorder="1"/>
    <xf numFmtId="0" fontId="84" fillId="4" borderId="0" xfId="85" applyFont="1" applyFill="1" applyBorder="1"/>
    <xf numFmtId="183" fontId="84" fillId="4" borderId="0" xfId="120" applyNumberFormat="1" applyFont="1" applyFill="1" applyBorder="1"/>
    <xf numFmtId="178" fontId="84" fillId="4" borderId="0" xfId="120" applyNumberFormat="1" applyFont="1" applyFill="1" applyBorder="1"/>
    <xf numFmtId="10" fontId="9" fillId="0" borderId="0" xfId="119" applyNumberFormat="1" applyFont="1"/>
    <xf numFmtId="10" fontId="31" fillId="4" borderId="0" xfId="119" applyNumberFormat="1" applyFont="1" applyFill="1" applyBorder="1" applyAlignment="1">
      <alignment horizontal="center"/>
    </xf>
    <xf numFmtId="10" fontId="31" fillId="0" borderId="0" xfId="119" applyNumberFormat="1" applyFont="1" applyAlignment="1">
      <alignment horizontal="center"/>
    </xf>
    <xf numFmtId="10" fontId="85" fillId="0" borderId="0" xfId="119" applyNumberFormat="1" applyFont="1" applyAlignment="1">
      <alignment horizontal="center"/>
    </xf>
    <xf numFmtId="10" fontId="31" fillId="0" borderId="1" xfId="119" applyNumberFormat="1" applyFont="1" applyBorder="1" applyAlignment="1">
      <alignment horizontal="center"/>
    </xf>
    <xf numFmtId="10" fontId="31" fillId="5" borderId="1" xfId="119" applyNumberFormat="1" applyFont="1" applyFill="1" applyBorder="1" applyAlignment="1">
      <alignment horizontal="center" vertical="center" wrapText="1"/>
    </xf>
    <xf numFmtId="10" fontId="0" fillId="0" borderId="5" xfId="119" applyNumberFormat="1" applyFont="1" applyBorder="1" applyAlignment="1">
      <alignment horizontal="center"/>
    </xf>
    <xf numFmtId="10" fontId="0" fillId="0" borderId="9" xfId="119" applyNumberFormat="1" applyFont="1" applyBorder="1" applyAlignment="1">
      <alignment horizontal="center"/>
    </xf>
    <xf numFmtId="10" fontId="0" fillId="0" borderId="36" xfId="119" applyNumberFormat="1" applyFont="1" applyBorder="1" applyAlignment="1">
      <alignment horizontal="center"/>
    </xf>
    <xf numFmtId="0" fontId="86" fillId="0" borderId="0" xfId="85" applyFont="1" applyAlignment="1">
      <alignment horizontal="center" vertical="center"/>
    </xf>
    <xf numFmtId="44" fontId="31" fillId="0" borderId="1" xfId="3" applyFont="1" applyBorder="1"/>
    <xf numFmtId="195" fontId="31" fillId="11" borderId="45" xfId="119" applyNumberFormat="1" applyFont="1" applyFill="1" applyBorder="1" applyAlignment="1"/>
    <xf numFmtId="196" fontId="31" fillId="11" borderId="45" xfId="119" applyNumberFormat="1" applyFont="1" applyFill="1" applyBorder="1" applyAlignment="1"/>
    <xf numFmtId="196" fontId="9" fillId="0" borderId="0" xfId="119" applyNumberFormat="1" applyFont="1" applyAlignment="1">
      <alignment horizontal="left" vertical="top" wrapText="1"/>
    </xf>
    <xf numFmtId="44" fontId="31" fillId="0" borderId="0" xfId="3" applyFont="1"/>
    <xf numFmtId="43" fontId="31" fillId="0" borderId="0" xfId="2" applyNumberFormat="1" applyFont="1" applyAlignment="1">
      <alignment horizontal="center"/>
    </xf>
    <xf numFmtId="0" fontId="86" fillId="0" borderId="0" xfId="85" applyFont="1" applyAlignment="1">
      <alignment horizontal="center"/>
    </xf>
    <xf numFmtId="0" fontId="31" fillId="4" borderId="45" xfId="85" applyFont="1" applyFill="1" applyBorder="1" applyAlignment="1">
      <alignment vertical="center"/>
    </xf>
    <xf numFmtId="0" fontId="31" fillId="11" borderId="29" xfId="85" applyFont="1" applyFill="1" applyBorder="1" applyAlignment="1">
      <alignment horizontal="left" indent="3"/>
    </xf>
    <xf numFmtId="0" fontId="31" fillId="11" borderId="29" xfId="85" applyFont="1" applyFill="1" applyBorder="1" applyAlignment="1">
      <alignment horizontal="left" indent="4"/>
    </xf>
    <xf numFmtId="0" fontId="31" fillId="11" borderId="62" xfId="85" applyFont="1" applyFill="1" applyBorder="1" applyAlignment="1">
      <alignment horizontal="left" indent="4"/>
    </xf>
    <xf numFmtId="164" fontId="9" fillId="0" borderId="5" xfId="85" applyNumberFormat="1" applyFont="1" applyBorder="1"/>
    <xf numFmtId="164" fontId="9" fillId="0" borderId="9" xfId="85" applyNumberFormat="1" applyFont="1" applyBorder="1"/>
    <xf numFmtId="0" fontId="31" fillId="0" borderId="1" xfId="85" applyFont="1" applyBorder="1" applyAlignment="1">
      <alignment horizontal="center"/>
    </xf>
    <xf numFmtId="0" fontId="31" fillId="0" borderId="1" xfId="85" applyFont="1" applyFill="1" applyBorder="1" applyAlignment="1">
      <alignment horizontal="center"/>
    </xf>
    <xf numFmtId="164" fontId="9" fillId="0" borderId="36" xfId="85" applyNumberFormat="1" applyFont="1" applyBorder="1"/>
    <xf numFmtId="0" fontId="9" fillId="0" borderId="20" xfId="85" applyFont="1" applyFill="1" applyBorder="1" applyAlignment="1">
      <alignment horizontal="left" vertical="center" wrapText="1"/>
    </xf>
    <xf numFmtId="0" fontId="9" fillId="0" borderId="5" xfId="85" applyNumberFormat="1" applyFont="1" applyFill="1" applyBorder="1" applyAlignment="1">
      <alignment horizontal="left" vertical="center" wrapText="1"/>
    </xf>
    <xf numFmtId="0" fontId="9" fillId="0" borderId="13" xfId="85" applyNumberFormat="1" applyFont="1" applyFill="1" applyBorder="1" applyAlignment="1">
      <alignment horizontal="left" vertical="center" wrapText="1"/>
    </xf>
    <xf numFmtId="0" fontId="9" fillId="0" borderId="9" xfId="85" applyNumberFormat="1" applyFont="1" applyFill="1" applyBorder="1" applyAlignment="1">
      <alignment horizontal="left" vertical="center" wrapText="1"/>
    </xf>
    <xf numFmtId="0" fontId="9" fillId="0" borderId="23" xfId="85" applyNumberFormat="1" applyFont="1" applyFill="1" applyBorder="1" applyAlignment="1">
      <alignment horizontal="left" vertical="center" wrapText="1"/>
    </xf>
    <xf numFmtId="164" fontId="9" fillId="0" borderId="65" xfId="3" applyNumberFormat="1" applyFont="1" applyBorder="1"/>
    <xf numFmtId="164" fontId="9" fillId="0" borderId="53" xfId="3" applyNumberFormat="1" applyFont="1" applyBorder="1"/>
    <xf numFmtId="164" fontId="9" fillId="0" borderId="55" xfId="3" applyNumberFormat="1" applyFont="1" applyBorder="1"/>
    <xf numFmtId="0" fontId="9" fillId="0" borderId="5" xfId="85" applyFont="1" applyBorder="1"/>
    <xf numFmtId="0" fontId="9" fillId="0" borderId="9" xfId="85" applyFont="1" applyBorder="1"/>
    <xf numFmtId="0" fontId="9" fillId="0" borderId="36" xfId="85" applyFont="1" applyBorder="1"/>
    <xf numFmtId="164" fontId="31" fillId="0" borderId="1" xfId="85" applyNumberFormat="1" applyFont="1" applyFill="1" applyBorder="1" applyAlignment="1">
      <alignment horizontal="center"/>
    </xf>
    <xf numFmtId="164" fontId="31" fillId="0" borderId="0" xfId="3" applyNumberFormat="1" applyFont="1"/>
    <xf numFmtId="0" fontId="54" fillId="0" borderId="0" xfId="0" applyFont="1" applyAlignment="1">
      <alignment vertical="center"/>
    </xf>
    <xf numFmtId="178" fontId="54" fillId="0" borderId="0" xfId="0" applyNumberFormat="1" applyFont="1"/>
    <xf numFmtId="0" fontId="28" fillId="0" borderId="30"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1" xfId="0" applyFont="1" applyBorder="1" applyAlignment="1">
      <alignment horizontal="center" vertical="center" wrapText="1"/>
    </xf>
    <xf numFmtId="178" fontId="28" fillId="0" borderId="3" xfId="0" applyNumberFormat="1" applyFont="1" applyBorder="1" applyAlignment="1">
      <alignment horizontal="center" vertical="center" wrapText="1"/>
    </xf>
    <xf numFmtId="0" fontId="28" fillId="0" borderId="3" xfId="0" applyFont="1" applyBorder="1" applyAlignment="1">
      <alignment horizontal="center" vertical="center" wrapText="1"/>
    </xf>
    <xf numFmtId="178" fontId="28" fillId="0" borderId="2" xfId="0" applyNumberFormat="1" applyFont="1" applyBorder="1" applyAlignment="1">
      <alignment horizontal="center" vertical="center" wrapText="1"/>
    </xf>
    <xf numFmtId="178" fontId="28" fillId="0" borderId="30" xfId="0" applyNumberFormat="1" applyFont="1" applyBorder="1" applyAlignment="1">
      <alignment horizontal="center" vertical="center" wrapText="1"/>
    </xf>
    <xf numFmtId="0" fontId="54" fillId="0" borderId="0" xfId="0" applyFont="1" applyAlignment="1">
      <alignment vertical="center" wrapText="1"/>
    </xf>
    <xf numFmtId="0" fontId="87" fillId="0" borderId="0" xfId="0" applyFont="1" applyAlignment="1">
      <alignment vertical="center" wrapText="1"/>
    </xf>
    <xf numFmtId="0" fontId="88" fillId="0" borderId="17" xfId="0" applyFont="1" applyBorder="1" applyAlignment="1">
      <alignment vertical="center" wrapText="1"/>
    </xf>
    <xf numFmtId="178" fontId="54" fillId="0" borderId="58" xfId="2" applyNumberFormat="1" applyFont="1" applyBorder="1" applyAlignment="1">
      <alignment vertical="center" wrapText="1"/>
    </xf>
    <xf numFmtId="164" fontId="54" fillId="0" borderId="19" xfId="3" applyNumberFormat="1" applyFont="1" applyBorder="1" applyAlignment="1">
      <alignment vertical="center" wrapText="1"/>
    </xf>
    <xf numFmtId="164" fontId="54" fillId="0" borderId="68" xfId="0" applyNumberFormat="1" applyFont="1" applyBorder="1" applyAlignment="1">
      <alignment vertical="center" wrapText="1"/>
    </xf>
    <xf numFmtId="0" fontId="88" fillId="0" borderId="52" xfId="0" applyFont="1" applyBorder="1" applyAlignment="1">
      <alignment vertical="center" wrapText="1"/>
    </xf>
    <xf numFmtId="178" fontId="54" fillId="0" borderId="25" xfId="0" applyNumberFormat="1" applyFont="1" applyBorder="1" applyAlignment="1">
      <alignment vertical="center" wrapText="1"/>
    </xf>
    <xf numFmtId="164" fontId="54" fillId="0" borderId="11" xfId="0" applyNumberFormat="1" applyFont="1" applyBorder="1" applyAlignment="1">
      <alignment vertical="center" wrapText="1"/>
    </xf>
    <xf numFmtId="164" fontId="54" fillId="0" borderId="12" xfId="0" applyNumberFormat="1" applyFont="1" applyBorder="1" applyAlignment="1">
      <alignment vertical="center" wrapText="1"/>
    </xf>
    <xf numFmtId="0" fontId="88" fillId="0" borderId="72" xfId="0" applyFont="1" applyBorder="1" applyAlignment="1">
      <alignment vertical="center" wrapText="1"/>
    </xf>
    <xf numFmtId="178" fontId="54" fillId="0" borderId="0" xfId="2" applyNumberFormat="1" applyFont="1" applyBorder="1" applyAlignment="1">
      <alignment vertical="center" wrapText="1"/>
    </xf>
    <xf numFmtId="164" fontId="54" fillId="0" borderId="69" xfId="3" applyNumberFormat="1" applyFont="1" applyBorder="1" applyAlignment="1">
      <alignment vertical="center" wrapText="1"/>
    </xf>
    <xf numFmtId="164" fontId="54" fillId="0" borderId="71" xfId="0" applyNumberFormat="1" applyFont="1" applyBorder="1" applyAlignment="1">
      <alignment vertical="center" wrapText="1"/>
    </xf>
    <xf numFmtId="0" fontId="88" fillId="0" borderId="20" xfId="0" applyFont="1" applyBorder="1" applyAlignment="1">
      <alignment vertical="center" wrapText="1"/>
    </xf>
    <xf numFmtId="178" fontId="54" fillId="0" borderId="63" xfId="2" applyNumberFormat="1" applyFont="1" applyBorder="1" applyAlignment="1">
      <alignment vertical="center" wrapText="1"/>
    </xf>
    <xf numFmtId="164" fontId="54" fillId="0" borderId="22" xfId="3" applyNumberFormat="1" applyFont="1" applyBorder="1" applyAlignment="1">
      <alignment vertical="center" wrapText="1"/>
    </xf>
    <xf numFmtId="164" fontId="54" fillId="0" borderId="38" xfId="0" applyNumberFormat="1" applyFont="1" applyBorder="1" applyAlignment="1">
      <alignment vertical="center" wrapText="1"/>
    </xf>
    <xf numFmtId="0" fontId="52" fillId="0" borderId="20" xfId="0" applyFont="1" applyBorder="1" applyAlignment="1">
      <alignment horizontal="center" vertical="center" wrapText="1"/>
    </xf>
    <xf numFmtId="178" fontId="52" fillId="0" borderId="80" xfId="2" applyNumberFormat="1" applyFont="1" applyBorder="1" applyAlignment="1">
      <alignment vertical="center" wrapText="1"/>
    </xf>
    <xf numFmtId="164" fontId="52" fillId="0" borderId="22" xfId="3" applyNumberFormat="1" applyFont="1" applyBorder="1" applyAlignment="1">
      <alignment vertical="center" wrapText="1"/>
    </xf>
    <xf numFmtId="164" fontId="52" fillId="0" borderId="79" xfId="0" applyNumberFormat="1" applyFont="1" applyBorder="1" applyAlignment="1">
      <alignment vertical="center" wrapText="1"/>
    </xf>
    <xf numFmtId="178" fontId="54" fillId="0" borderId="0" xfId="2" applyNumberFormat="1" applyFont="1" applyAlignment="1">
      <alignment vertical="center" wrapText="1"/>
    </xf>
    <xf numFmtId="164" fontId="54" fillId="0" borderId="0" xfId="3" applyNumberFormat="1" applyFont="1" applyAlignment="1">
      <alignment vertical="center" wrapText="1"/>
    </xf>
    <xf numFmtId="164" fontId="54" fillId="0" borderId="0" xfId="0" applyNumberFormat="1" applyFont="1" applyAlignment="1">
      <alignment vertical="center" wrapText="1"/>
    </xf>
    <xf numFmtId="178" fontId="54" fillId="0" borderId="59" xfId="2" applyNumberFormat="1" applyFont="1" applyBorder="1" applyAlignment="1">
      <alignment vertical="center" wrapText="1"/>
    </xf>
    <xf numFmtId="164" fontId="54" fillId="0" borderId="59" xfId="3" applyNumberFormat="1" applyFont="1" applyBorder="1" applyAlignment="1">
      <alignment vertical="center" wrapText="1"/>
    </xf>
    <xf numFmtId="178" fontId="54" fillId="0" borderId="74" xfId="2" applyNumberFormat="1" applyFont="1" applyBorder="1" applyAlignment="1">
      <alignment vertical="center" wrapText="1"/>
    </xf>
    <xf numFmtId="164" fontId="54" fillId="0" borderId="74" xfId="3" applyNumberFormat="1" applyFont="1" applyBorder="1" applyAlignment="1">
      <alignment vertical="center" wrapText="1"/>
    </xf>
    <xf numFmtId="0" fontId="88" fillId="0" borderId="54" xfId="0" applyFont="1" applyBorder="1" applyAlignment="1">
      <alignment vertical="center" wrapText="1"/>
    </xf>
    <xf numFmtId="178" fontId="54" fillId="0" borderId="40" xfId="0" applyNumberFormat="1" applyFont="1" applyBorder="1" applyAlignment="1">
      <alignment vertical="center" wrapText="1"/>
    </xf>
    <xf numFmtId="164" fontId="54" fillId="0" borderId="41" xfId="0" applyNumberFormat="1" applyFont="1" applyBorder="1" applyAlignment="1">
      <alignment vertical="center" wrapText="1"/>
    </xf>
    <xf numFmtId="164" fontId="54" fillId="0" borderId="42" xfId="0" applyNumberFormat="1" applyFont="1" applyBorder="1" applyAlignment="1">
      <alignment vertical="center" wrapText="1"/>
    </xf>
    <xf numFmtId="0" fontId="52" fillId="0" borderId="29" xfId="0" applyFont="1" applyBorder="1" applyAlignment="1">
      <alignment horizontal="center" vertical="center" wrapText="1"/>
    </xf>
    <xf numFmtId="178" fontId="52" fillId="0" borderId="30" xfId="0" applyNumberFormat="1" applyFont="1" applyBorder="1" applyAlignment="1">
      <alignment vertical="center" wrapText="1"/>
    </xf>
    <xf numFmtId="164" fontId="52" fillId="0" borderId="3" xfId="3" applyNumberFormat="1" applyFont="1" applyBorder="1" applyAlignment="1">
      <alignment vertical="center" wrapText="1"/>
    </xf>
    <xf numFmtId="164" fontId="52" fillId="0" borderId="4" xfId="0" applyNumberFormat="1" applyFont="1" applyBorder="1" applyAlignment="1">
      <alignment vertical="center" wrapText="1"/>
    </xf>
    <xf numFmtId="178" fontId="54" fillId="0" borderId="80" xfId="2" applyNumberFormat="1" applyFont="1" applyBorder="1" applyAlignment="1">
      <alignment vertical="center" wrapText="1"/>
    </xf>
    <xf numFmtId="164" fontId="54" fillId="0" borderId="80" xfId="3" applyNumberFormat="1" applyFont="1" applyBorder="1" applyAlignment="1">
      <alignment vertical="center" wrapText="1"/>
    </xf>
    <xf numFmtId="0" fontId="52" fillId="0" borderId="1" xfId="0" applyFont="1" applyBorder="1" applyAlignment="1">
      <alignment horizontal="center" vertical="center" wrapText="1"/>
    </xf>
    <xf numFmtId="178" fontId="52" fillId="0" borderId="2" xfId="2" applyNumberFormat="1" applyFont="1" applyBorder="1" applyAlignment="1">
      <alignment vertical="center" wrapText="1"/>
    </xf>
    <xf numFmtId="0" fontId="52" fillId="0" borderId="30" xfId="0" applyFont="1" applyBorder="1" applyAlignment="1">
      <alignment vertical="center" wrapText="1"/>
    </xf>
    <xf numFmtId="178" fontId="52" fillId="0" borderId="3" xfId="2" applyNumberFormat="1" applyFont="1" applyBorder="1" applyAlignment="1">
      <alignment vertical="center" wrapText="1"/>
    </xf>
    <xf numFmtId="0" fontId="88" fillId="0" borderId="18" xfId="0" applyFont="1" applyBorder="1" applyAlignment="1">
      <alignment vertical="center" wrapText="1"/>
    </xf>
    <xf numFmtId="0" fontId="88" fillId="0" borderId="51" xfId="0" applyFont="1" applyBorder="1" applyAlignment="1">
      <alignment vertical="center" wrapText="1"/>
    </xf>
    <xf numFmtId="164" fontId="54" fillId="0" borderId="0" xfId="3" applyNumberFormat="1" applyFont="1" applyBorder="1" applyAlignment="1">
      <alignment vertical="center" wrapText="1"/>
    </xf>
    <xf numFmtId="164" fontId="54" fillId="0" borderId="0" xfId="0" applyNumberFormat="1" applyFont="1" applyBorder="1" applyAlignment="1">
      <alignment vertical="center" wrapText="1"/>
    </xf>
    <xf numFmtId="178" fontId="54" fillId="0" borderId="69" xfId="2" applyNumberFormat="1" applyFont="1" applyBorder="1" applyAlignment="1">
      <alignment vertical="center" wrapText="1"/>
    </xf>
    <xf numFmtId="0" fontId="88" fillId="0" borderId="33" xfId="0" applyFont="1" applyBorder="1" applyAlignment="1">
      <alignment vertical="center" wrapText="1"/>
    </xf>
    <xf numFmtId="178" fontId="54" fillId="0" borderId="19" xfId="2" applyNumberFormat="1" applyFont="1" applyBorder="1" applyAlignment="1">
      <alignment vertical="center" wrapText="1"/>
    </xf>
    <xf numFmtId="0" fontId="88" fillId="0" borderId="32" xfId="0" applyFont="1" applyBorder="1" applyAlignment="1">
      <alignment vertical="center" wrapText="1"/>
    </xf>
    <xf numFmtId="0" fontId="88" fillId="0" borderId="32" xfId="0" applyFont="1" applyBorder="1" applyAlignment="1">
      <alignment horizontal="left" vertical="center"/>
    </xf>
    <xf numFmtId="0" fontId="88" fillId="0" borderId="62" xfId="0" applyFont="1" applyBorder="1" applyAlignment="1">
      <alignment vertical="center" wrapText="1"/>
    </xf>
    <xf numFmtId="178" fontId="54" fillId="0" borderId="22" xfId="2" applyNumberFormat="1" applyFont="1" applyBorder="1" applyAlignment="1">
      <alignment vertical="center" wrapText="1"/>
    </xf>
    <xf numFmtId="0" fontId="54" fillId="0" borderId="0" xfId="0" applyFont="1" applyBorder="1" applyAlignment="1">
      <alignment vertical="center"/>
    </xf>
    <xf numFmtId="0" fontId="89" fillId="0" borderId="0" xfId="0" applyFont="1" applyAlignment="1">
      <alignment vertical="center" wrapText="1"/>
    </xf>
    <xf numFmtId="0" fontId="31" fillId="4" borderId="29" xfId="85" applyFont="1" applyFill="1" applyBorder="1" applyAlignment="1">
      <alignment horizontal="left" vertical="center" indent="3"/>
    </xf>
    <xf numFmtId="0" fontId="31" fillId="5" borderId="18" xfId="85" applyFont="1" applyFill="1" applyBorder="1" applyAlignment="1">
      <alignment horizontal="center" vertical="center" wrapText="1"/>
    </xf>
    <xf numFmtId="0" fontId="31" fillId="5" borderId="19" xfId="85" applyFont="1" applyFill="1" applyBorder="1" applyAlignment="1">
      <alignment horizontal="center" vertical="center" wrapText="1"/>
    </xf>
    <xf numFmtId="0" fontId="31" fillId="5" borderId="3" xfId="85" applyFont="1" applyFill="1" applyBorder="1" applyAlignment="1">
      <alignment horizontal="center" vertical="center" wrapText="1"/>
    </xf>
    <xf numFmtId="10" fontId="84" fillId="7" borderId="46" xfId="119" applyNumberFormat="1" applyFont="1" applyFill="1" applyBorder="1" applyAlignment="1">
      <alignment vertical="center"/>
    </xf>
    <xf numFmtId="0" fontId="67" fillId="0" borderId="0" xfId="0" applyFont="1" applyAlignment="1">
      <alignment vertical="center" wrapText="1"/>
    </xf>
    <xf numFmtId="0" fontId="83" fillId="3" borderId="0" xfId="0" applyFont="1" applyFill="1" applyAlignment="1">
      <alignment vertical="center" wrapText="1"/>
    </xf>
    <xf numFmtId="178" fontId="54" fillId="0" borderId="0" xfId="0" applyNumberFormat="1" applyFont="1" applyAlignment="1">
      <alignment vertical="center"/>
    </xf>
    <xf numFmtId="164" fontId="54" fillId="0" borderId="0" xfId="0" applyNumberFormat="1" applyFont="1" applyAlignment="1">
      <alignment vertical="center"/>
    </xf>
    <xf numFmtId="164" fontId="54" fillId="0" borderId="0" xfId="0" applyNumberFormat="1" applyFont="1"/>
    <xf numFmtId="0" fontId="88" fillId="0" borderId="0" xfId="0" applyFont="1" applyBorder="1" applyAlignment="1">
      <alignment vertical="center" wrapText="1"/>
    </xf>
    <xf numFmtId="0" fontId="52" fillId="0" borderId="21" xfId="0" applyFont="1" applyBorder="1" applyAlignment="1">
      <alignment vertical="center" wrapText="1"/>
    </xf>
    <xf numFmtId="178" fontId="52" fillId="0" borderId="22" xfId="2" applyNumberFormat="1" applyFont="1" applyBorder="1" applyAlignment="1">
      <alignment vertical="center" wrapText="1"/>
    </xf>
    <xf numFmtId="9" fontId="9" fillId="0" borderId="0" xfId="119" applyFont="1"/>
    <xf numFmtId="164" fontId="54" fillId="0" borderId="15" xfId="1" applyNumberFormat="1" applyFont="1" applyFill="1" applyBorder="1" applyAlignment="1" applyProtection="1">
      <alignment horizontal="center" vertical="center" wrapText="1"/>
    </xf>
    <xf numFmtId="164" fontId="26" fillId="0" borderId="15" xfId="3" applyNumberFormat="1" applyFont="1" applyFill="1" applyBorder="1" applyProtection="1"/>
    <xf numFmtId="164" fontId="26" fillId="0" borderId="16" xfId="3" applyNumberFormat="1" applyFont="1" applyFill="1" applyBorder="1" applyProtection="1"/>
    <xf numFmtId="0" fontId="31" fillId="4" borderId="29" xfId="85" applyFont="1" applyFill="1" applyBorder="1" applyAlignment="1">
      <alignment horizontal="left" vertical="center" indent="3"/>
    </xf>
    <xf numFmtId="0" fontId="31" fillId="5" borderId="18" xfId="85" applyFont="1" applyFill="1" applyBorder="1" applyAlignment="1">
      <alignment horizontal="center" vertical="center" wrapText="1"/>
    </xf>
    <xf numFmtId="0" fontId="31" fillId="5" borderId="19" xfId="85" applyFont="1" applyFill="1" applyBorder="1" applyAlignment="1">
      <alignment horizontal="center" vertical="center" wrapText="1"/>
    </xf>
    <xf numFmtId="0" fontId="31" fillId="5" borderId="3" xfId="85" applyFont="1" applyFill="1" applyBorder="1" applyAlignment="1">
      <alignment horizontal="center" vertical="center" wrapText="1"/>
    </xf>
    <xf numFmtId="43" fontId="83" fillId="7" borderId="11" xfId="2" applyFont="1" applyFill="1" applyBorder="1" applyAlignment="1" applyProtection="1">
      <alignment horizontal="center" vertical="center" wrapText="1"/>
    </xf>
    <xf numFmtId="0" fontId="54" fillId="0" borderId="11" xfId="0" applyFont="1" applyFill="1" applyBorder="1" applyAlignment="1" applyProtection="1">
      <alignment wrapText="1"/>
    </xf>
    <xf numFmtId="43" fontId="54" fillId="0" borderId="11" xfId="2" applyFont="1" applyFill="1" applyBorder="1" applyProtection="1"/>
    <xf numFmtId="0" fontId="54" fillId="0" borderId="11" xfId="0" applyFont="1" applyFill="1" applyBorder="1" applyProtection="1"/>
    <xf numFmtId="178" fontId="27" fillId="0" borderId="28" xfId="2" applyNumberFormat="1" applyFont="1" applyFill="1" applyBorder="1" applyProtection="1"/>
    <xf numFmtId="178" fontId="27" fillId="0" borderId="46" xfId="2" applyNumberFormat="1" applyFont="1" applyFill="1" applyBorder="1" applyProtection="1"/>
    <xf numFmtId="178" fontId="27" fillId="0" borderId="81" xfId="2" applyNumberFormat="1" applyFont="1" applyFill="1" applyBorder="1" applyProtection="1"/>
    <xf numFmtId="178" fontId="52" fillId="0" borderId="46" xfId="1" applyNumberFormat="1" applyFont="1" applyFill="1" applyBorder="1" applyAlignment="1" applyProtection="1">
      <alignment horizontal="center" vertical="center" wrapText="1"/>
    </xf>
    <xf numFmtId="178" fontId="54" fillId="0" borderId="46" xfId="2" applyNumberFormat="1" applyFont="1" applyFill="1" applyBorder="1" applyProtection="1"/>
    <xf numFmtId="178" fontId="27" fillId="0" borderId="75" xfId="2" applyNumberFormat="1" applyFont="1" applyFill="1" applyBorder="1" applyProtection="1"/>
    <xf numFmtId="178" fontId="54" fillId="0" borderId="40" xfId="2" applyNumberFormat="1" applyFont="1" applyFill="1" applyBorder="1" applyProtection="1"/>
    <xf numFmtId="43" fontId="54" fillId="0" borderId="11" xfId="2" applyFont="1" applyFill="1" applyBorder="1" applyAlignment="1" applyProtection="1">
      <alignment horizontal="center" vertical="center" wrapText="1"/>
    </xf>
    <xf numFmtId="43" fontId="54" fillId="0" borderId="11" xfId="2" applyNumberFormat="1" applyFont="1" applyFill="1" applyBorder="1" applyAlignment="1" applyProtection="1">
      <alignment horizontal="center" vertical="center" wrapText="1"/>
    </xf>
    <xf numFmtId="43" fontId="52" fillId="0" borderId="11" xfId="2" applyFont="1" applyFill="1" applyBorder="1" applyAlignment="1" applyProtection="1">
      <alignment horizontal="center" vertical="center" wrapText="1"/>
    </xf>
    <xf numFmtId="43" fontId="52" fillId="0" borderId="11" xfId="2" applyFont="1" applyFill="1" applyBorder="1" applyAlignment="1" applyProtection="1">
      <alignment horizontal="center"/>
    </xf>
    <xf numFmtId="178" fontId="26" fillId="0" borderId="11" xfId="2" applyNumberFormat="1" applyFont="1" applyFill="1" applyBorder="1" applyProtection="1"/>
    <xf numFmtId="43" fontId="52" fillId="0" borderId="11" xfId="2" applyNumberFormat="1" applyFont="1" applyFill="1" applyBorder="1" applyAlignment="1" applyProtection="1">
      <alignment horizontal="center"/>
    </xf>
    <xf numFmtId="43" fontId="52" fillId="0" borderId="11" xfId="2" applyNumberFormat="1" applyFont="1" applyFill="1" applyBorder="1" applyAlignment="1" applyProtection="1">
      <alignment horizontal="center" vertical="center" wrapText="1"/>
    </xf>
    <xf numFmtId="0" fontId="52" fillId="0" borderId="11" xfId="0" applyFont="1" applyFill="1" applyBorder="1" applyAlignment="1" applyProtection="1">
      <alignment horizontal="center"/>
    </xf>
    <xf numFmtId="178" fontId="52" fillId="0" borderId="11" xfId="2" applyNumberFormat="1" applyFont="1" applyFill="1" applyBorder="1" applyAlignment="1" applyProtection="1">
      <alignment horizontal="center"/>
    </xf>
    <xf numFmtId="178" fontId="52" fillId="0" borderId="11" xfId="2" applyNumberFormat="1" applyFont="1" applyFill="1" applyBorder="1" applyAlignment="1" applyProtection="1">
      <alignment horizontal="right" vertical="center" wrapText="1"/>
    </xf>
    <xf numFmtId="178" fontId="26" fillId="0" borderId="11" xfId="2" applyNumberFormat="1" applyFont="1" applyFill="1" applyBorder="1" applyAlignment="1" applyProtection="1">
      <alignment horizontal="right"/>
    </xf>
    <xf numFmtId="178" fontId="52" fillId="0" borderId="11" xfId="2" applyNumberFormat="1" applyFont="1" applyFill="1" applyBorder="1" applyAlignment="1" applyProtection="1">
      <alignment horizontal="right"/>
    </xf>
    <xf numFmtId="178" fontId="26" fillId="0" borderId="0" xfId="2" applyNumberFormat="1" applyFont="1" applyFill="1" applyBorder="1" applyAlignment="1" applyProtection="1">
      <alignment horizontal="center" vertical="center" wrapText="1"/>
    </xf>
    <xf numFmtId="178" fontId="52" fillId="0" borderId="41" xfId="2" applyNumberFormat="1" applyFont="1" applyFill="1" applyBorder="1" applyAlignment="1" applyProtection="1">
      <alignment horizontal="center" vertical="center" wrapText="1"/>
    </xf>
    <xf numFmtId="178" fontId="26" fillId="0" borderId="41" xfId="2" applyNumberFormat="1" applyFont="1" applyFill="1" applyBorder="1" applyProtection="1"/>
    <xf numFmtId="43" fontId="26" fillId="0" borderId="19" xfId="2" applyFont="1" applyFill="1" applyBorder="1" applyAlignment="1" applyProtection="1">
      <alignment horizontal="center" vertical="center" wrapText="1"/>
    </xf>
    <xf numFmtId="0" fontId="54" fillId="0" borderId="11" xfId="0" applyFont="1" applyFill="1" applyBorder="1" applyAlignment="1" applyProtection="1">
      <alignment horizontal="left"/>
    </xf>
    <xf numFmtId="43" fontId="54" fillId="0" borderId="11" xfId="2" applyNumberFormat="1" applyFont="1" applyFill="1" applyBorder="1" applyProtection="1"/>
    <xf numFmtId="0" fontId="54" fillId="0" borderId="11" xfId="0" applyFont="1" applyFill="1" applyBorder="1"/>
    <xf numFmtId="43" fontId="52" fillId="0" borderId="26" xfId="0" applyNumberFormat="1" applyFont="1" applyFill="1" applyBorder="1" applyAlignment="1" applyProtection="1">
      <alignment horizontal="center" vertical="center" wrapText="1"/>
    </xf>
    <xf numFmtId="164" fontId="54" fillId="0" borderId="11" xfId="0" applyNumberFormat="1" applyFont="1" applyFill="1" applyBorder="1" applyAlignment="1" applyProtection="1">
      <alignment horizontal="center" vertical="center" wrapText="1"/>
    </xf>
    <xf numFmtId="178" fontId="52" fillId="0" borderId="26" xfId="2" applyNumberFormat="1" applyFont="1" applyFill="1" applyBorder="1" applyAlignment="1" applyProtection="1">
      <alignment horizontal="center" vertical="center" wrapText="1"/>
    </xf>
    <xf numFmtId="178" fontId="27" fillId="0" borderId="26" xfId="2" applyNumberFormat="1" applyFont="1" applyFill="1" applyBorder="1" applyProtection="1"/>
    <xf numFmtId="178" fontId="27" fillId="0" borderId="11" xfId="2" applyNumberFormat="1" applyFont="1" applyFill="1" applyBorder="1" applyProtection="1"/>
    <xf numFmtId="178" fontId="27" fillId="0" borderId="15" xfId="2" applyNumberFormat="1" applyFont="1" applyFill="1" applyBorder="1" applyProtection="1"/>
    <xf numFmtId="178" fontId="27" fillId="0" borderId="69" xfId="2" applyNumberFormat="1" applyFont="1" applyFill="1" applyBorder="1" applyProtection="1"/>
    <xf numFmtId="0" fontId="52" fillId="0" borderId="26" xfId="1" applyFont="1" applyFill="1" applyBorder="1" applyAlignment="1" applyProtection="1">
      <alignment horizontal="center"/>
    </xf>
    <xf numFmtId="0" fontId="58" fillId="0" borderId="0" xfId="5" applyFont="1" applyAlignment="1" applyProtection="1">
      <alignment vertical="center"/>
    </xf>
    <xf numFmtId="43" fontId="52" fillId="0" borderId="26" xfId="2" applyNumberFormat="1" applyFont="1" applyFill="1" applyBorder="1" applyAlignment="1" applyProtection="1">
      <alignment horizontal="center" vertical="center" wrapText="1"/>
    </xf>
    <xf numFmtId="43" fontId="27" fillId="0" borderId="26" xfId="2" applyNumberFormat="1" applyFont="1" applyFill="1" applyBorder="1" applyProtection="1"/>
    <xf numFmtId="43" fontId="27" fillId="0" borderId="11" xfId="2" applyNumberFormat="1" applyFont="1" applyFill="1" applyBorder="1" applyProtection="1"/>
    <xf numFmtId="43" fontId="27" fillId="0" borderId="15" xfId="2" applyNumberFormat="1" applyFont="1" applyFill="1" applyBorder="1" applyProtection="1"/>
    <xf numFmtId="43" fontId="27" fillId="0" borderId="69" xfId="2" applyNumberFormat="1" applyFont="1" applyFill="1" applyBorder="1" applyProtection="1"/>
    <xf numFmtId="43" fontId="26" fillId="0" borderId="2" xfId="2" applyFont="1" applyFill="1" applyBorder="1" applyAlignment="1" applyProtection="1">
      <alignment horizontal="center" vertical="center" wrapText="1"/>
    </xf>
    <xf numFmtId="178" fontId="52" fillId="0" borderId="44" xfId="1" applyNumberFormat="1" applyFont="1" applyFill="1" applyBorder="1" applyAlignment="1" applyProtection="1">
      <alignment horizontal="center" vertical="center" wrapText="1"/>
    </xf>
    <xf numFmtId="178" fontId="27" fillId="0" borderId="44" xfId="0" applyNumberFormat="1" applyFont="1" applyFill="1" applyBorder="1" applyProtection="1"/>
    <xf numFmtId="178" fontId="27" fillId="0" borderId="10" xfId="0" applyNumberFormat="1" applyFont="1" applyFill="1" applyBorder="1" applyProtection="1"/>
    <xf numFmtId="178" fontId="27" fillId="0" borderId="14" xfId="0" applyNumberFormat="1" applyFont="1" applyFill="1" applyBorder="1" applyProtection="1"/>
    <xf numFmtId="178" fontId="52" fillId="0" borderId="10" xfId="1" applyNumberFormat="1" applyFont="1" applyFill="1" applyBorder="1" applyAlignment="1" applyProtection="1">
      <alignment horizontal="center" vertical="center" wrapText="1"/>
    </xf>
    <xf numFmtId="178" fontId="27" fillId="0" borderId="74" xfId="0" applyNumberFormat="1" applyFont="1" applyFill="1" applyBorder="1" applyProtection="1"/>
    <xf numFmtId="43" fontId="26" fillId="0" borderId="30" xfId="2" applyFont="1" applyFill="1" applyBorder="1" applyAlignment="1" applyProtection="1">
      <alignment horizontal="center" vertical="center" wrapText="1"/>
    </xf>
    <xf numFmtId="43" fontId="26" fillId="0" borderId="4" xfId="2" applyFont="1" applyFill="1" applyBorder="1" applyAlignment="1" applyProtection="1">
      <alignment horizontal="center" vertical="center" wrapText="1"/>
    </xf>
    <xf numFmtId="0" fontId="52" fillId="0" borderId="27" xfId="1" applyNumberFormat="1" applyFont="1" applyFill="1" applyBorder="1" applyAlignment="1" applyProtection="1">
      <alignment horizontal="left"/>
    </xf>
    <xf numFmtId="0" fontId="27" fillId="0" borderId="27" xfId="0" applyNumberFormat="1" applyFont="1" applyFill="1" applyBorder="1" applyAlignment="1" applyProtection="1">
      <alignment wrapText="1"/>
    </xf>
    <xf numFmtId="0" fontId="27" fillId="0" borderId="12" xfId="0" applyNumberFormat="1" applyFont="1" applyFill="1" applyBorder="1" applyAlignment="1" applyProtection="1">
      <alignment wrapText="1"/>
    </xf>
    <xf numFmtId="0" fontId="27" fillId="0" borderId="12" xfId="0" applyNumberFormat="1" applyFont="1" applyFill="1" applyBorder="1" applyProtection="1"/>
    <xf numFmtId="0" fontId="27" fillId="0" borderId="16" xfId="0" applyNumberFormat="1" applyFont="1" applyFill="1" applyBorder="1" applyAlignment="1" applyProtection="1">
      <alignment wrapText="1"/>
    </xf>
    <xf numFmtId="0" fontId="52" fillId="0" borderId="12" xfId="1" applyNumberFormat="1" applyFont="1" applyFill="1" applyBorder="1" applyAlignment="1" applyProtection="1">
      <alignment wrapText="1"/>
    </xf>
    <xf numFmtId="0" fontId="27" fillId="3" borderId="12" xfId="0" applyNumberFormat="1" applyFont="1" applyFill="1" applyBorder="1" applyAlignment="1" applyProtection="1">
      <alignment wrapText="1"/>
    </xf>
    <xf numFmtId="0" fontId="83" fillId="0" borderId="27" xfId="0" applyNumberFormat="1" applyFont="1" applyFill="1" applyBorder="1" applyAlignment="1" applyProtection="1">
      <alignment wrapText="1"/>
    </xf>
    <xf numFmtId="0" fontId="83" fillId="0" borderId="12" xfId="0" applyNumberFormat="1" applyFont="1" applyFill="1" applyBorder="1" applyAlignment="1" applyProtection="1">
      <alignment wrapText="1"/>
    </xf>
    <xf numFmtId="0" fontId="54" fillId="0" borderId="71" xfId="0" applyFont="1" applyFill="1" applyBorder="1" applyAlignment="1" applyProtection="1">
      <alignment wrapText="1"/>
    </xf>
    <xf numFmtId="0" fontId="54" fillId="0" borderId="12" xfId="0" applyFont="1" applyFill="1" applyBorder="1" applyAlignment="1" applyProtection="1">
      <alignment wrapText="1"/>
    </xf>
    <xf numFmtId="0" fontId="27" fillId="0" borderId="27" xfId="0" applyNumberFormat="1" applyFont="1" applyFill="1" applyBorder="1"/>
    <xf numFmtId="0" fontId="27" fillId="0" borderId="12" xfId="0" applyNumberFormat="1" applyFont="1" applyFill="1" applyBorder="1"/>
    <xf numFmtId="0" fontId="27" fillId="0" borderId="16" xfId="0" applyNumberFormat="1" applyFont="1" applyFill="1" applyBorder="1"/>
    <xf numFmtId="0" fontId="27" fillId="0" borderId="70" xfId="0" applyNumberFormat="1" applyFont="1" applyFill="1" applyBorder="1" applyAlignment="1" applyProtection="1">
      <alignment wrapText="1"/>
    </xf>
    <xf numFmtId="0" fontId="52" fillId="0" borderId="12" xfId="1" applyFont="1" applyFill="1" applyBorder="1" applyAlignment="1" applyProtection="1">
      <alignment wrapText="1"/>
    </xf>
    <xf numFmtId="0" fontId="26" fillId="0" borderId="42" xfId="0" applyFont="1" applyFill="1" applyBorder="1" applyAlignment="1" applyProtection="1">
      <alignment wrapText="1"/>
    </xf>
    <xf numFmtId="183" fontId="31" fillId="11" borderId="45" xfId="2" applyNumberFormat="1" applyFont="1" applyFill="1" applyBorder="1" applyAlignment="1"/>
    <xf numFmtId="10" fontId="31" fillId="11" borderId="45" xfId="119" applyNumberFormat="1" applyFont="1" applyFill="1" applyBorder="1" applyAlignment="1"/>
    <xf numFmtId="0" fontId="26" fillId="0" borderId="41" xfId="0" applyNumberFormat="1" applyFont="1" applyFill="1" applyBorder="1" applyAlignment="1" applyProtection="1">
      <alignment horizontal="left"/>
    </xf>
    <xf numFmtId="164" fontId="54" fillId="0" borderId="0" xfId="0" applyNumberFormat="1" applyFont="1" applyAlignment="1">
      <alignment horizontal="center" vertical="center"/>
    </xf>
    <xf numFmtId="178" fontId="52" fillId="0" borderId="41" xfId="1" applyNumberFormat="1" applyFont="1" applyFill="1" applyBorder="1" applyAlignment="1" applyProtection="1">
      <alignment horizontal="center" vertical="center" wrapText="1"/>
    </xf>
    <xf numFmtId="164" fontId="54" fillId="0" borderId="41" xfId="3" applyNumberFormat="1" applyFont="1" applyBorder="1"/>
    <xf numFmtId="0" fontId="54" fillId="0" borderId="51" xfId="0" applyFont="1" applyBorder="1"/>
    <xf numFmtId="178" fontId="52" fillId="0" borderId="69" xfId="1" applyNumberFormat="1" applyFont="1" applyFill="1" applyBorder="1" applyAlignment="1" applyProtection="1">
      <alignment horizontal="center" vertical="center" wrapText="1"/>
    </xf>
    <xf numFmtId="164" fontId="54" fillId="0" borderId="69" xfId="3" applyNumberFormat="1" applyFont="1" applyBorder="1"/>
    <xf numFmtId="164" fontId="54" fillId="0" borderId="69" xfId="0" applyNumberFormat="1" applyFont="1" applyBorder="1"/>
    <xf numFmtId="164" fontId="54" fillId="0" borderId="70" xfId="3" applyNumberFormat="1" applyFont="1" applyBorder="1"/>
    <xf numFmtId="0" fontId="54" fillId="0" borderId="21" xfId="0" applyFont="1" applyBorder="1"/>
    <xf numFmtId="178" fontId="26" fillId="0" borderId="22" xfId="2" applyNumberFormat="1" applyFont="1" applyFill="1" applyBorder="1" applyAlignment="1" applyProtection="1">
      <alignment horizontal="center" vertical="center" wrapText="1"/>
    </xf>
    <xf numFmtId="164" fontId="54" fillId="0" borderId="22" xfId="0" applyNumberFormat="1" applyFont="1" applyBorder="1"/>
    <xf numFmtId="164" fontId="54" fillId="0" borderId="79" xfId="3" applyNumberFormat="1" applyFont="1" applyBorder="1"/>
    <xf numFmtId="0" fontId="54" fillId="0" borderId="39" xfId="0" applyFont="1" applyBorder="1"/>
    <xf numFmtId="178" fontId="52" fillId="0" borderId="7" xfId="1" applyNumberFormat="1" applyFont="1" applyFill="1" applyBorder="1" applyAlignment="1" applyProtection="1">
      <alignment horizontal="center" vertical="center" wrapText="1"/>
    </xf>
    <xf numFmtId="164" fontId="54" fillId="0" borderId="7" xfId="3" applyNumberFormat="1" applyFont="1" applyBorder="1"/>
    <xf numFmtId="164" fontId="54" fillId="0" borderId="7" xfId="0" applyNumberFormat="1" applyFont="1" applyBorder="1"/>
    <xf numFmtId="164" fontId="54" fillId="0" borderId="8" xfId="3" applyNumberFormat="1" applyFont="1" applyBorder="1"/>
    <xf numFmtId="0" fontId="54" fillId="0" borderId="0" xfId="0" applyFont="1" applyAlignment="1">
      <alignment horizontal="center"/>
    </xf>
    <xf numFmtId="0" fontId="90" fillId="0" borderId="0" xfId="0" applyFont="1" applyBorder="1"/>
    <xf numFmtId="178" fontId="90" fillId="0" borderId="0" xfId="0" applyNumberFormat="1" applyFont="1" applyBorder="1"/>
    <xf numFmtId="164" fontId="90" fillId="0" borderId="0" xfId="0" applyNumberFormat="1" applyFont="1" applyBorder="1"/>
    <xf numFmtId="0" fontId="91" fillId="0" borderId="0" xfId="0" applyFont="1" applyFill="1" applyProtection="1"/>
    <xf numFmtId="0" fontId="92" fillId="0" borderId="0" xfId="1" applyFont="1" applyFill="1" applyProtection="1"/>
    <xf numFmtId="0" fontId="91" fillId="0" borderId="0" xfId="0" applyFont="1" applyFill="1" applyBorder="1" applyProtection="1"/>
    <xf numFmtId="15" fontId="93" fillId="0" borderId="0" xfId="0" applyNumberFormat="1" applyFont="1" applyAlignment="1">
      <alignment vertical="center"/>
    </xf>
    <xf numFmtId="0" fontId="94" fillId="0" borderId="0" xfId="5" applyFont="1" applyAlignment="1" applyProtection="1">
      <alignment vertical="center"/>
    </xf>
    <xf numFmtId="0" fontId="61" fillId="0" borderId="58" xfId="0" applyNumberFormat="1" applyFont="1" applyBorder="1" applyAlignment="1">
      <alignment horizontal="center" vertical="center" wrapText="1"/>
    </xf>
    <xf numFmtId="0" fontId="61" fillId="0" borderId="68" xfId="0" applyNumberFormat="1" applyFont="1" applyBorder="1" applyAlignment="1">
      <alignment horizontal="center" vertical="center" wrapText="1"/>
    </xf>
    <xf numFmtId="0" fontId="61" fillId="0" borderId="62" xfId="0" applyNumberFormat="1" applyFont="1" applyBorder="1" applyAlignment="1">
      <alignment horizontal="center" vertical="center" wrapText="1"/>
    </xf>
    <xf numFmtId="0" fontId="61" fillId="0" borderId="63" xfId="0" applyNumberFormat="1" applyFont="1" applyBorder="1" applyAlignment="1">
      <alignment horizontal="center" vertical="center" wrapText="1"/>
    </xf>
    <xf numFmtId="0" fontId="61" fillId="0" borderId="38" xfId="0" applyNumberFormat="1" applyFont="1" applyBorder="1" applyAlignment="1">
      <alignment horizontal="center" vertical="center" wrapText="1"/>
    </xf>
    <xf numFmtId="0" fontId="80" fillId="0" borderId="29" xfId="0" applyFont="1" applyBorder="1" applyAlignment="1">
      <alignment horizontal="center" vertical="center"/>
    </xf>
    <xf numFmtId="0" fontId="80" fillId="0" borderId="45" xfId="0" applyFont="1" applyBorder="1" applyAlignment="1">
      <alignment horizontal="center" vertical="center"/>
    </xf>
    <xf numFmtId="0" fontId="80" fillId="0" borderId="2" xfId="0" applyFont="1" applyBorder="1" applyAlignment="1">
      <alignment horizontal="center" vertical="center"/>
    </xf>
    <xf numFmtId="0" fontId="81" fillId="0" borderId="0" xfId="0" applyFont="1" applyBorder="1" applyAlignment="1">
      <alignment horizontal="center" vertical="center"/>
    </xf>
    <xf numFmtId="0" fontId="82" fillId="18" borderId="29" xfId="0" applyFont="1" applyFill="1" applyBorder="1" applyAlignment="1">
      <alignment horizontal="center" vertical="center"/>
    </xf>
    <xf numFmtId="0" fontId="82" fillId="18" borderId="45" xfId="0" applyFont="1" applyFill="1" applyBorder="1" applyAlignment="1">
      <alignment horizontal="center" vertical="center"/>
    </xf>
    <xf numFmtId="0" fontId="82" fillId="18" borderId="31" xfId="0" applyFont="1" applyFill="1" applyBorder="1" applyAlignment="1">
      <alignment horizontal="center" vertical="center"/>
    </xf>
    <xf numFmtId="0" fontId="65" fillId="0" borderId="33" xfId="0" applyFont="1" applyBorder="1" applyAlignment="1">
      <alignment horizontal="center" vertical="center" wrapText="1"/>
    </xf>
    <xf numFmtId="0" fontId="65" fillId="0" borderId="32" xfId="0" applyFont="1" applyBorder="1" applyAlignment="1">
      <alignment horizontal="center" vertical="center" wrapText="1"/>
    </xf>
    <xf numFmtId="0" fontId="65" fillId="0" borderId="62" xfId="0" applyFont="1" applyBorder="1" applyAlignment="1">
      <alignment horizontal="center" vertical="center" wrapText="1"/>
    </xf>
    <xf numFmtId="0" fontId="76" fillId="0" borderId="32" xfId="0" applyFont="1" applyBorder="1" applyAlignment="1">
      <alignment horizontal="center" vertical="center" wrapText="1"/>
    </xf>
    <xf numFmtId="0" fontId="76" fillId="0" borderId="0" xfId="0" applyFont="1" applyBorder="1" applyAlignment="1">
      <alignment horizontal="center" vertical="center" wrapText="1"/>
    </xf>
    <xf numFmtId="0" fontId="62" fillId="0" borderId="33" xfId="0" quotePrefix="1" applyFont="1" applyBorder="1" applyAlignment="1">
      <alignment horizontal="left" vertical="center" wrapText="1"/>
    </xf>
    <xf numFmtId="0" fontId="62" fillId="0" borderId="58" xfId="0" quotePrefix="1" applyFont="1" applyBorder="1" applyAlignment="1">
      <alignment horizontal="left" vertical="center" wrapText="1"/>
    </xf>
    <xf numFmtId="0" fontId="62" fillId="0" borderId="68" xfId="0" quotePrefix="1" applyFont="1" applyBorder="1" applyAlignment="1">
      <alignment horizontal="left" vertical="center" wrapText="1"/>
    </xf>
    <xf numFmtId="0" fontId="62" fillId="0" borderId="62" xfId="0" quotePrefix="1" applyFont="1" applyBorder="1" applyAlignment="1">
      <alignment horizontal="left" vertical="center" wrapText="1"/>
    </xf>
    <xf numFmtId="0" fontId="62" fillId="0" borderId="63" xfId="0" quotePrefix="1" applyFont="1" applyBorder="1" applyAlignment="1">
      <alignment horizontal="left" vertical="center" wrapText="1"/>
    </xf>
    <xf numFmtId="0" fontId="62" fillId="0" borderId="38" xfId="0" quotePrefix="1" applyFont="1" applyBorder="1" applyAlignment="1">
      <alignment horizontal="left" vertical="center" wrapText="1"/>
    </xf>
    <xf numFmtId="0" fontId="25" fillId="0" borderId="29" xfId="0" applyFont="1" applyBorder="1" applyAlignment="1">
      <alignment horizontal="center" vertical="center"/>
    </xf>
    <xf numFmtId="0" fontId="25" fillId="0" borderId="45" xfId="0" applyFont="1" applyBorder="1" applyAlignment="1">
      <alignment horizontal="center" vertical="center"/>
    </xf>
    <xf numFmtId="0" fontId="25" fillId="0" borderId="31" xfId="0" applyFont="1" applyBorder="1" applyAlignment="1">
      <alignment horizontal="center" vertical="center"/>
    </xf>
    <xf numFmtId="0" fontId="70" fillId="0" borderId="29" xfId="0" applyFont="1" applyBorder="1" applyAlignment="1">
      <alignment horizontal="center" vertical="center"/>
    </xf>
    <xf numFmtId="0" fontId="70" fillId="0" borderId="45" xfId="0" applyFont="1" applyBorder="1" applyAlignment="1">
      <alignment horizontal="center" vertical="center"/>
    </xf>
    <xf numFmtId="0" fontId="70" fillId="0" borderId="31" xfId="0" applyFont="1" applyBorder="1" applyAlignment="1">
      <alignment horizontal="center" vertical="center"/>
    </xf>
    <xf numFmtId="0" fontId="71" fillId="0" borderId="29" xfId="0" applyNumberFormat="1" applyFont="1" applyBorder="1" applyAlignment="1">
      <alignment horizontal="center" vertical="center"/>
    </xf>
    <xf numFmtId="0" fontId="71" fillId="0" borderId="45" xfId="0" applyNumberFormat="1" applyFont="1" applyBorder="1" applyAlignment="1">
      <alignment horizontal="center" vertical="center"/>
    </xf>
    <xf numFmtId="0" fontId="71" fillId="0" borderId="31" xfId="0" applyNumberFormat="1" applyFont="1" applyBorder="1" applyAlignment="1">
      <alignment horizontal="center" vertical="center"/>
    </xf>
    <xf numFmtId="0" fontId="62" fillId="0" borderId="62" xfId="0" applyFont="1" applyBorder="1" applyAlignment="1">
      <alignment horizontal="center" vertical="center" wrapText="1"/>
    </xf>
    <xf numFmtId="0" fontId="62" fillId="0" borderId="63" xfId="0" applyFont="1" applyBorder="1" applyAlignment="1">
      <alignment horizontal="center" vertical="center" wrapText="1"/>
    </xf>
    <xf numFmtId="0" fontId="62" fillId="0" borderId="38" xfId="0" applyFont="1" applyBorder="1" applyAlignment="1">
      <alignment horizontal="center" vertical="center" wrapText="1"/>
    </xf>
    <xf numFmtId="0" fontId="4" fillId="0" borderId="0" xfId="4" applyFont="1" applyAlignment="1">
      <alignment horizontal="center" vertical="center"/>
    </xf>
    <xf numFmtId="0" fontId="6" fillId="0" borderId="0" xfId="4" applyFont="1" applyAlignment="1">
      <alignment horizontal="center" vertical="center" wrapText="1"/>
    </xf>
    <xf numFmtId="0" fontId="6" fillId="0" borderId="0" xfId="4" applyFont="1" applyAlignment="1">
      <alignment horizontal="center" vertical="center"/>
    </xf>
    <xf numFmtId="0" fontId="25" fillId="6" borderId="17" xfId="6" applyFont="1" applyFill="1" applyBorder="1" applyAlignment="1">
      <alignment horizontal="center" vertical="center" wrapText="1"/>
    </xf>
    <xf numFmtId="0" fontId="25" fillId="6" borderId="20" xfId="6" applyFont="1" applyFill="1" applyBorder="1" applyAlignment="1">
      <alignment horizontal="center" vertical="center" wrapText="1"/>
    </xf>
    <xf numFmtId="0" fontId="28" fillId="0" borderId="33" xfId="0" applyFont="1" applyBorder="1" applyAlignment="1">
      <alignment horizontal="center" wrapText="1"/>
    </xf>
    <xf numFmtId="0" fontId="28" fillId="0" borderId="58" xfId="0" applyFont="1" applyBorder="1" applyAlignment="1">
      <alignment horizontal="center" wrapText="1"/>
    </xf>
    <xf numFmtId="0" fontId="28" fillId="0" borderId="68" xfId="0" applyFont="1" applyBorder="1" applyAlignment="1">
      <alignment horizontal="center" wrapText="1"/>
    </xf>
    <xf numFmtId="0" fontId="28" fillId="0" borderId="62" xfId="0" applyFont="1" applyBorder="1" applyAlignment="1">
      <alignment horizontal="center" wrapText="1"/>
    </xf>
    <xf numFmtId="0" fontId="28" fillId="0" borderId="63" xfId="0" applyFont="1" applyBorder="1" applyAlignment="1">
      <alignment horizontal="center" wrapText="1"/>
    </xf>
    <xf numFmtId="0" fontId="28" fillId="0" borderId="38" xfId="0" applyFont="1" applyBorder="1" applyAlignment="1">
      <alignment horizontal="center" wrapText="1"/>
    </xf>
    <xf numFmtId="0" fontId="31" fillId="4" borderId="29" xfId="85" applyFont="1" applyFill="1" applyBorder="1" applyAlignment="1">
      <alignment horizontal="left" vertical="center" indent="3"/>
    </xf>
    <xf numFmtId="0" fontId="31" fillId="4" borderId="45" xfId="85" applyFont="1" applyFill="1" applyBorder="1" applyAlignment="1">
      <alignment horizontal="left" vertical="center" indent="3"/>
    </xf>
    <xf numFmtId="0" fontId="42" fillId="4" borderId="17" xfId="121" applyFont="1" applyFill="1" applyBorder="1" applyAlignment="1">
      <alignment horizontal="center" vertical="center" wrapText="1"/>
    </xf>
    <xf numFmtId="0" fontId="42" fillId="4" borderId="72" xfId="121" applyFont="1" applyFill="1" applyBorder="1" applyAlignment="1">
      <alignment horizontal="center" vertical="center" wrapText="1"/>
    </xf>
    <xf numFmtId="0" fontId="42" fillId="4" borderId="20" xfId="121" applyFont="1" applyFill="1" applyBorder="1" applyAlignment="1">
      <alignment horizontal="center" vertical="center" wrapText="1"/>
    </xf>
    <xf numFmtId="0" fontId="31" fillId="5" borderId="73" xfId="85" applyFont="1" applyFill="1" applyBorder="1" applyAlignment="1">
      <alignment horizontal="center" vertical="center" wrapText="1"/>
    </xf>
    <xf numFmtId="0" fontId="31" fillId="5" borderId="34" xfId="85" applyFont="1" applyFill="1" applyBorder="1" applyAlignment="1">
      <alignment horizontal="center" vertical="center" wrapText="1"/>
    </xf>
    <xf numFmtId="0" fontId="31" fillId="5" borderId="6" xfId="85" applyFont="1" applyFill="1" applyBorder="1" applyAlignment="1">
      <alignment horizontal="center" vertical="center" wrapText="1"/>
    </xf>
    <xf numFmtId="0" fontId="31" fillId="4" borderId="29" xfId="85" applyFont="1" applyFill="1" applyBorder="1" applyAlignment="1">
      <alignment horizontal="left" vertical="center"/>
    </xf>
    <xf numFmtId="0" fontId="31" fillId="4" borderId="45" xfId="85" applyFont="1" applyFill="1" applyBorder="1" applyAlignment="1">
      <alignment horizontal="left" vertical="center"/>
    </xf>
    <xf numFmtId="0" fontId="32" fillId="0" borderId="67" xfId="85" applyFont="1" applyBorder="1" applyAlignment="1">
      <alignment horizontal="center" vertical="center" wrapText="1"/>
    </xf>
    <xf numFmtId="0" fontId="32" fillId="0" borderId="21" xfId="85" applyFont="1" applyBorder="1" applyAlignment="1">
      <alignment horizontal="center" vertical="center" wrapText="1"/>
    </xf>
    <xf numFmtId="0" fontId="32" fillId="0" borderId="17" xfId="85" applyFont="1" applyFill="1" applyBorder="1" applyAlignment="1">
      <alignment horizontal="center" vertical="center" wrapText="1"/>
    </xf>
    <xf numFmtId="0" fontId="32" fillId="0" borderId="20" xfId="85" applyFont="1" applyFill="1" applyBorder="1" applyAlignment="1">
      <alignment horizontal="center" vertical="center" wrapText="1"/>
    </xf>
    <xf numFmtId="0" fontId="24" fillId="0" borderId="29" xfId="85" applyFont="1" applyFill="1" applyBorder="1" applyAlignment="1">
      <alignment horizontal="left" vertical="top" wrapText="1"/>
    </xf>
    <xf numFmtId="0" fontId="24" fillId="0" borderId="31" xfId="85" applyFont="1" applyFill="1" applyBorder="1" applyAlignment="1">
      <alignment horizontal="left" vertical="top" wrapText="1"/>
    </xf>
    <xf numFmtId="0" fontId="31" fillId="0" borderId="29" xfId="85" applyFont="1" applyFill="1" applyBorder="1" applyAlignment="1">
      <alignment horizontal="left" vertical="top" wrapText="1"/>
    </xf>
    <xf numFmtId="0" fontId="31" fillId="0" borderId="45" xfId="85" applyFont="1" applyFill="1" applyBorder="1" applyAlignment="1">
      <alignment horizontal="left" vertical="top" wrapText="1"/>
    </xf>
    <xf numFmtId="0" fontId="31" fillId="0" borderId="31" xfId="85" applyFont="1" applyFill="1" applyBorder="1" applyAlignment="1">
      <alignment horizontal="left" vertical="top" wrapText="1"/>
    </xf>
    <xf numFmtId="0" fontId="31" fillId="5" borderId="29" xfId="85" applyFont="1" applyFill="1" applyBorder="1" applyAlignment="1">
      <alignment horizontal="center" vertical="center" wrapText="1"/>
    </xf>
    <xf numFmtId="0" fontId="31" fillId="5" borderId="2" xfId="85" applyFont="1" applyFill="1" applyBorder="1" applyAlignment="1">
      <alignment horizontal="center" vertical="center" wrapText="1"/>
    </xf>
    <xf numFmtId="0" fontId="32" fillId="0" borderId="72" xfId="85" applyFont="1" applyFill="1" applyBorder="1" applyAlignment="1">
      <alignment horizontal="center" vertical="center" wrapText="1"/>
    </xf>
    <xf numFmtId="0" fontId="31" fillId="5" borderId="31" xfId="85" applyFont="1" applyFill="1" applyBorder="1" applyAlignment="1">
      <alignment horizontal="center" vertical="center" wrapText="1"/>
    </xf>
    <xf numFmtId="0" fontId="32" fillId="5" borderId="29" xfId="85" applyFont="1" applyFill="1" applyBorder="1" applyAlignment="1">
      <alignment horizontal="center" vertical="center"/>
    </xf>
    <xf numFmtId="0" fontId="32" fillId="5" borderId="45" xfId="85" applyFont="1" applyFill="1" applyBorder="1" applyAlignment="1">
      <alignment horizontal="center" vertical="center"/>
    </xf>
    <xf numFmtId="0" fontId="32" fillId="5" borderId="31" xfId="85" applyFont="1" applyFill="1" applyBorder="1" applyAlignment="1">
      <alignment horizontal="center" vertical="center"/>
    </xf>
    <xf numFmtId="0" fontId="31" fillId="4" borderId="29" xfId="85" applyFont="1" applyFill="1" applyBorder="1" applyAlignment="1">
      <alignment horizontal="right" vertical="center"/>
    </xf>
    <xf numFmtId="0" fontId="31" fillId="4" borderId="45" xfId="85" applyFont="1" applyFill="1" applyBorder="1" applyAlignment="1">
      <alignment horizontal="right" vertical="center"/>
    </xf>
    <xf numFmtId="0" fontId="31" fillId="4" borderId="2" xfId="85" applyFont="1" applyFill="1" applyBorder="1" applyAlignment="1">
      <alignment horizontal="right" vertical="center"/>
    </xf>
    <xf numFmtId="0" fontId="31" fillId="5" borderId="3" xfId="85" applyFont="1" applyFill="1" applyBorder="1" applyAlignment="1">
      <alignment horizontal="center" vertical="center" wrapText="1"/>
    </xf>
    <xf numFmtId="0" fontId="31" fillId="5" borderId="48" xfId="85" applyFont="1" applyFill="1" applyBorder="1" applyAlignment="1">
      <alignment horizontal="center" vertical="center" wrapText="1"/>
    </xf>
    <xf numFmtId="0" fontId="40" fillId="0" borderId="67" xfId="85" applyFont="1" applyFill="1" applyBorder="1" applyAlignment="1">
      <alignment horizontal="center" vertical="center" wrapText="1"/>
    </xf>
    <xf numFmtId="0" fontId="40" fillId="0" borderId="51" xfId="85" applyFont="1" applyFill="1" applyBorder="1" applyAlignment="1">
      <alignment horizontal="center" vertical="center" wrapText="1"/>
    </xf>
    <xf numFmtId="0" fontId="40" fillId="0" borderId="21" xfId="85" applyFont="1" applyFill="1" applyBorder="1" applyAlignment="1">
      <alignment horizontal="center" vertical="center" wrapText="1"/>
    </xf>
    <xf numFmtId="173" fontId="9" fillId="0" borderId="7" xfId="85" applyNumberFormat="1" applyFont="1" applyFill="1" applyBorder="1" applyAlignment="1">
      <alignment horizontal="right"/>
    </xf>
    <xf numFmtId="173" fontId="9" fillId="0" borderId="73" xfId="85" applyNumberFormat="1" applyFont="1" applyFill="1" applyBorder="1" applyAlignment="1">
      <alignment horizontal="right"/>
    </xf>
    <xf numFmtId="173" fontId="9" fillId="0" borderId="11" xfId="85" applyNumberFormat="1" applyFont="1" applyFill="1" applyBorder="1" applyAlignment="1">
      <alignment horizontal="right"/>
    </xf>
    <xf numFmtId="173" fontId="9" fillId="0" borderId="46" xfId="85" applyNumberFormat="1" applyFont="1" applyFill="1" applyBorder="1" applyAlignment="1">
      <alignment horizontal="right"/>
    </xf>
    <xf numFmtId="173" fontId="9" fillId="0" borderId="65" xfId="85" applyNumberFormat="1" applyFont="1" applyFill="1" applyBorder="1" applyAlignment="1">
      <alignment horizontal="right"/>
    </xf>
    <xf numFmtId="173" fontId="9" fillId="0" borderId="53" xfId="85" applyNumberFormat="1" applyFont="1" applyFill="1" applyBorder="1" applyAlignment="1">
      <alignment horizontal="right"/>
    </xf>
    <xf numFmtId="173" fontId="9" fillId="0" borderId="56" xfId="85" applyNumberFormat="1" applyFont="1" applyFill="1" applyBorder="1" applyAlignment="1">
      <alignment horizontal="right"/>
    </xf>
    <xf numFmtId="173" fontId="9" fillId="0" borderId="55" xfId="85" applyNumberFormat="1" applyFont="1" applyFill="1" applyBorder="1" applyAlignment="1">
      <alignment horizontal="right"/>
    </xf>
    <xf numFmtId="173" fontId="9" fillId="0" borderId="41" xfId="85" applyNumberFormat="1" applyFont="1" applyFill="1" applyBorder="1" applyAlignment="1">
      <alignment horizontal="right"/>
    </xf>
    <xf numFmtId="0" fontId="31" fillId="5" borderId="18" xfId="85" applyFont="1" applyFill="1" applyBorder="1" applyAlignment="1">
      <alignment horizontal="center" vertical="center" wrapText="1"/>
    </xf>
    <xf numFmtId="0" fontId="31" fillId="5" borderId="19" xfId="85" applyFont="1" applyFill="1" applyBorder="1" applyAlignment="1">
      <alignment horizontal="center" vertical="center" wrapText="1"/>
    </xf>
    <xf numFmtId="0" fontId="32" fillId="0" borderId="32" xfId="85" applyFont="1" applyFill="1" applyBorder="1" applyAlignment="1">
      <alignment horizontal="center" vertical="center" wrapText="1"/>
    </xf>
    <xf numFmtId="0" fontId="31" fillId="0" borderId="29" xfId="85" applyFont="1" applyBorder="1" applyAlignment="1">
      <alignment horizontal="center"/>
    </xf>
    <xf numFmtId="0" fontId="31" fillId="0" borderId="31" xfId="85" applyFont="1" applyBorder="1" applyAlignment="1">
      <alignment horizontal="center"/>
    </xf>
    <xf numFmtId="0" fontId="31" fillId="0" borderId="33" xfId="85" applyFont="1" applyBorder="1" applyAlignment="1">
      <alignment horizontal="center"/>
    </xf>
    <xf numFmtId="0" fontId="31" fillId="0" borderId="68" xfId="85" applyFont="1" applyBorder="1" applyAlignment="1">
      <alignment horizontal="center"/>
    </xf>
    <xf numFmtId="0" fontId="31" fillId="11" borderId="29" xfId="85" applyFont="1" applyFill="1" applyBorder="1" applyAlignment="1">
      <alignment horizontal="left"/>
    </xf>
    <xf numFmtId="0" fontId="31" fillId="11" borderId="45" xfId="85" applyFont="1" applyFill="1" applyBorder="1" applyAlignment="1">
      <alignment horizontal="left"/>
    </xf>
    <xf numFmtId="0" fontId="40" fillId="0" borderId="18" xfId="85" applyFont="1" applyFill="1" applyBorder="1" applyAlignment="1">
      <alignment horizontal="center" vertical="center" wrapText="1"/>
    </xf>
    <xf numFmtId="0" fontId="64" fillId="0" borderId="29" xfId="0" applyFont="1" applyBorder="1" applyAlignment="1">
      <alignment horizontal="center" vertical="center" wrapText="1"/>
    </xf>
    <xf numFmtId="0" fontId="64" fillId="0" borderId="45" xfId="0" applyFont="1" applyBorder="1" applyAlignment="1">
      <alignment horizontal="center" vertical="center" wrapText="1"/>
    </xf>
    <xf numFmtId="0" fontId="64" fillId="0" borderId="31" xfId="0" applyFont="1" applyBorder="1" applyAlignment="1">
      <alignment horizontal="center" vertical="center" wrapText="1"/>
    </xf>
    <xf numFmtId="0" fontId="34" fillId="0" borderId="29" xfId="71" applyFont="1" applyBorder="1" applyAlignment="1">
      <alignment horizontal="center"/>
    </xf>
    <xf numFmtId="0" fontId="34" fillId="0" borderId="45" xfId="71" applyFont="1" applyBorder="1" applyAlignment="1">
      <alignment horizontal="center"/>
    </xf>
    <xf numFmtId="0" fontId="34" fillId="0" borderId="31" xfId="71" applyFont="1" applyBorder="1" applyAlignment="1">
      <alignment horizontal="center"/>
    </xf>
    <xf numFmtId="0" fontId="47" fillId="2" borderId="29" xfId="131" applyFont="1" applyFill="1" applyBorder="1" applyAlignment="1">
      <alignment horizontal="center" vertical="center"/>
    </xf>
    <xf numFmtId="0" fontId="47" fillId="2" borderId="45" xfId="131" applyFont="1" applyFill="1" applyBorder="1" applyAlignment="1">
      <alignment horizontal="center" vertical="center"/>
    </xf>
    <xf numFmtId="0" fontId="47" fillId="2" borderId="31" xfId="131" applyFont="1" applyFill="1" applyBorder="1" applyAlignment="1">
      <alignment horizontal="center" vertical="center"/>
    </xf>
    <xf numFmtId="4" fontId="15" fillId="0" borderId="33" xfId="103" applyNumberFormat="1" applyFont="1" applyBorder="1" applyAlignment="1">
      <alignment horizontal="center" vertical="center"/>
    </xf>
    <xf numFmtId="4" fontId="15" fillId="0" borderId="58" xfId="103" applyNumberFormat="1" applyFont="1" applyBorder="1" applyAlignment="1">
      <alignment horizontal="center" vertical="center"/>
    </xf>
    <xf numFmtId="4" fontId="15" fillId="0" borderId="68" xfId="103" applyNumberFormat="1" applyFont="1" applyBorder="1" applyAlignment="1">
      <alignment horizontal="center" vertical="center"/>
    </xf>
    <xf numFmtId="4" fontId="15" fillId="0" borderId="62" xfId="103" applyNumberFormat="1" applyFont="1" applyBorder="1" applyAlignment="1">
      <alignment horizontal="center" vertical="center"/>
    </xf>
    <xf numFmtId="4" fontId="15" fillId="0" borderId="63" xfId="103" applyNumberFormat="1" applyFont="1" applyBorder="1" applyAlignment="1">
      <alignment horizontal="center" vertical="center"/>
    </xf>
    <xf numFmtId="4" fontId="15" fillId="0" borderId="38" xfId="103" applyNumberFormat="1" applyFont="1" applyBorder="1" applyAlignment="1">
      <alignment horizontal="center" vertical="center"/>
    </xf>
    <xf numFmtId="4" fontId="2" fillId="0" borderId="59" xfId="103" applyNumberFormat="1" applyFont="1" applyBorder="1" applyAlignment="1">
      <alignment horizontal="center"/>
    </xf>
    <xf numFmtId="4" fontId="2" fillId="0" borderId="19" xfId="103" applyNumberFormat="1" applyFont="1" applyBorder="1" applyAlignment="1">
      <alignment horizontal="center"/>
    </xf>
    <xf numFmtId="4" fontId="2" fillId="0" borderId="60" xfId="103" applyNumberFormat="1" applyFont="1" applyBorder="1" applyAlignment="1">
      <alignment horizontal="center"/>
    </xf>
    <xf numFmtId="4" fontId="2" fillId="16" borderId="33" xfId="103" applyNumberFormat="1" applyFont="1" applyFill="1" applyBorder="1" applyAlignment="1">
      <alignment horizontal="center" vertical="center"/>
    </xf>
    <xf numFmtId="4" fontId="2" fillId="16" borderId="58" xfId="103" applyNumberFormat="1" applyFont="1" applyFill="1" applyBorder="1" applyAlignment="1">
      <alignment horizontal="center" vertical="center"/>
    </xf>
    <xf numFmtId="4" fontId="2" fillId="16" borderId="68" xfId="103" applyNumberFormat="1" applyFont="1" applyFill="1" applyBorder="1" applyAlignment="1">
      <alignment horizontal="center" vertical="center"/>
    </xf>
    <xf numFmtId="4" fontId="2" fillId="16" borderId="62" xfId="103" applyNumberFormat="1" applyFont="1" applyFill="1" applyBorder="1" applyAlignment="1">
      <alignment horizontal="center" vertical="center"/>
    </xf>
    <xf numFmtId="4" fontId="2" fillId="16" borderId="63" xfId="103" applyNumberFormat="1" applyFont="1" applyFill="1" applyBorder="1" applyAlignment="1">
      <alignment horizontal="center" vertical="center"/>
    </xf>
    <xf numFmtId="4" fontId="2" fillId="16" borderId="38" xfId="103" applyNumberFormat="1" applyFont="1" applyFill="1" applyBorder="1" applyAlignment="1">
      <alignment horizontal="center" vertical="center"/>
    </xf>
    <xf numFmtId="0" fontId="24" fillId="2" borderId="25" xfId="131" applyFont="1" applyFill="1" applyBorder="1" applyAlignment="1">
      <alignment horizontal="left" vertical="center" wrapText="1"/>
    </xf>
    <xf numFmtId="0" fontId="1" fillId="0" borderId="11" xfId="103" applyBorder="1"/>
    <xf numFmtId="0" fontId="1" fillId="0" borderId="12" xfId="103" applyBorder="1"/>
    <xf numFmtId="0" fontId="1" fillId="0" borderId="25" xfId="103" applyBorder="1"/>
    <xf numFmtId="0" fontId="1" fillId="0" borderId="40" xfId="103" applyBorder="1"/>
    <xf numFmtId="0" fontId="1" fillId="0" borderId="41" xfId="103" applyBorder="1"/>
    <xf numFmtId="0" fontId="1" fillId="0" borderId="42" xfId="103" applyBorder="1"/>
    <xf numFmtId="1" fontId="16" fillId="0" borderId="11" xfId="131" applyNumberFormat="1" applyFont="1" applyBorder="1" applyAlignment="1" applyProtection="1">
      <alignment horizontal="center" vertical="center"/>
    </xf>
    <xf numFmtId="0" fontId="16" fillId="2" borderId="25" xfId="131" applyFont="1" applyFill="1" applyBorder="1" applyAlignment="1">
      <alignment horizontal="left" vertical="center" wrapText="1"/>
    </xf>
    <xf numFmtId="0" fontId="16" fillId="2" borderId="25" xfId="131" applyFont="1" applyFill="1" applyBorder="1" applyAlignment="1">
      <alignment vertical="center" wrapText="1"/>
    </xf>
    <xf numFmtId="0" fontId="16" fillId="2" borderId="25" xfId="131" applyFont="1" applyFill="1" applyBorder="1" applyAlignment="1">
      <alignment vertical="center"/>
    </xf>
    <xf numFmtId="1" fontId="16" fillId="0" borderId="11" xfId="131" applyNumberFormat="1" applyFont="1" applyBorder="1" applyAlignment="1">
      <alignment horizontal="center" vertical="center"/>
    </xf>
    <xf numFmtId="0" fontId="45" fillId="0" borderId="18" xfId="131" applyFont="1" applyBorder="1" applyAlignment="1">
      <alignment horizontal="center"/>
    </xf>
    <xf numFmtId="0" fontId="45" fillId="0" borderId="19" xfId="131" applyFont="1" applyBorder="1" applyAlignment="1">
      <alignment horizontal="center"/>
    </xf>
    <xf numFmtId="0" fontId="45" fillId="0" borderId="60" xfId="131" applyFont="1" applyBorder="1" applyAlignment="1">
      <alignment horizontal="center"/>
    </xf>
    <xf numFmtId="49" fontId="16" fillId="0" borderId="11" xfId="131" applyNumberFormat="1" applyFont="1" applyBorder="1" applyAlignment="1">
      <alignment horizontal="center" vertical="center"/>
    </xf>
    <xf numFmtId="0" fontId="2" fillId="11" borderId="11" xfId="0" applyFont="1" applyFill="1" applyBorder="1" applyAlignment="1">
      <alignment horizontal="center"/>
    </xf>
    <xf numFmtId="0" fontId="57" fillId="7" borderId="25" xfId="0" applyFont="1" applyFill="1" applyBorder="1" applyAlignment="1" applyProtection="1">
      <alignment horizontal="left" vertical="center" wrapText="1"/>
      <protection locked="0"/>
    </xf>
    <xf numFmtId="0" fontId="57" fillId="7" borderId="11" xfId="0" applyFont="1" applyFill="1" applyBorder="1" applyAlignment="1" applyProtection="1">
      <alignment horizontal="left" vertical="center" wrapText="1"/>
      <protection locked="0"/>
    </xf>
    <xf numFmtId="0" fontId="57" fillId="7" borderId="46" xfId="0" applyFont="1" applyFill="1" applyBorder="1" applyAlignment="1" applyProtection="1">
      <alignment horizontal="left" vertical="center" wrapText="1"/>
      <protection locked="0"/>
    </xf>
    <xf numFmtId="0" fontId="57" fillId="7" borderId="53" xfId="0" applyFont="1" applyFill="1" applyBorder="1" applyAlignment="1" applyProtection="1">
      <alignment horizontal="left" vertical="center" wrapText="1"/>
      <protection locked="0"/>
    </xf>
    <xf numFmtId="0" fontId="52" fillId="0" borderId="33" xfId="0" applyFont="1" applyBorder="1" applyAlignment="1" applyProtection="1">
      <alignment horizontal="center" vertical="center" wrapText="1"/>
      <protection locked="0"/>
    </xf>
    <xf numFmtId="0" fontId="52" fillId="0" borderId="58" xfId="0" applyFont="1" applyBorder="1" applyAlignment="1" applyProtection="1">
      <alignment horizontal="center" vertical="center" wrapText="1"/>
      <protection locked="0"/>
    </xf>
    <xf numFmtId="0" fontId="52" fillId="0" borderId="68" xfId="0" applyFont="1" applyBorder="1" applyAlignment="1" applyProtection="1">
      <alignment horizontal="center" vertical="center" wrapText="1"/>
      <protection locked="0"/>
    </xf>
    <xf numFmtId="0" fontId="52" fillId="0" borderId="49" xfId="0" applyFont="1" applyBorder="1" applyAlignment="1" applyProtection="1">
      <alignment horizontal="center" vertical="center" wrapText="1"/>
      <protection locked="0"/>
    </xf>
    <xf numFmtId="0" fontId="52" fillId="0" borderId="24" xfId="0" applyFont="1" applyBorder="1" applyAlignment="1" applyProtection="1">
      <alignment horizontal="center" vertical="center" wrapText="1"/>
      <protection locked="0"/>
    </xf>
    <xf numFmtId="0" fontId="52" fillId="0" borderId="50" xfId="0" applyFont="1" applyBorder="1" applyAlignment="1" applyProtection="1">
      <alignment horizontal="center" vertical="center" wrapText="1"/>
      <protection locked="0"/>
    </xf>
    <xf numFmtId="0" fontId="52" fillId="7" borderId="25" xfId="0" applyFont="1" applyFill="1" applyBorder="1" applyAlignment="1" applyProtection="1">
      <alignment horizontal="left" vertical="center"/>
      <protection locked="0"/>
    </xf>
    <xf numFmtId="0" fontId="52" fillId="7" borderId="11" xfId="0" applyFont="1" applyFill="1" applyBorder="1" applyAlignment="1" applyProtection="1">
      <alignment horizontal="left" vertical="center"/>
      <protection locked="0"/>
    </xf>
    <xf numFmtId="0" fontId="52" fillId="7" borderId="46" xfId="0" applyFont="1" applyFill="1" applyBorder="1" applyAlignment="1" applyProtection="1">
      <alignment horizontal="left"/>
      <protection locked="0"/>
    </xf>
    <xf numFmtId="0" fontId="52" fillId="7" borderId="53" xfId="0" applyFont="1" applyFill="1" applyBorder="1" applyAlignment="1" applyProtection="1">
      <alignment horizontal="left"/>
      <protection locked="0"/>
    </xf>
    <xf numFmtId="0" fontId="58" fillId="7" borderId="46" xfId="5" applyFont="1" applyFill="1" applyBorder="1" applyAlignment="1" applyProtection="1">
      <alignment horizontal="left" vertical="center" wrapText="1"/>
      <protection locked="0"/>
    </xf>
    <xf numFmtId="0" fontId="54" fillId="0" borderId="11" xfId="0" applyFont="1" applyBorder="1" applyAlignment="1">
      <alignment horizontal="center" vertical="center"/>
    </xf>
    <xf numFmtId="0" fontId="54" fillId="0" borderId="15" xfId="0" applyFont="1" applyBorder="1" applyAlignment="1">
      <alignment horizontal="left" vertical="center" wrapText="1"/>
    </xf>
    <xf numFmtId="0" fontId="54" fillId="0" borderId="69" xfId="0" applyFont="1" applyBorder="1" applyAlignment="1">
      <alignment horizontal="left" vertical="center" wrapText="1"/>
    </xf>
    <xf numFmtId="0" fontId="54" fillId="0" borderId="26" xfId="0" applyFont="1" applyBorder="1" applyAlignment="1">
      <alignment horizontal="left" vertical="center" wrapText="1"/>
    </xf>
    <xf numFmtId="0" fontId="54" fillId="0" borderId="15" xfId="0" applyFont="1" applyBorder="1" applyAlignment="1">
      <alignment horizontal="center" vertical="center"/>
    </xf>
    <xf numFmtId="0" fontId="54" fillId="0" borderId="69" xfId="0" applyFont="1" applyBorder="1" applyAlignment="1">
      <alignment horizontal="center" vertical="center"/>
    </xf>
    <xf numFmtId="0" fontId="54" fillId="0" borderId="26" xfId="0" applyFont="1" applyBorder="1" applyAlignment="1">
      <alignment horizontal="center" vertical="center"/>
    </xf>
    <xf numFmtId="0" fontId="54" fillId="0" borderId="15" xfId="0" applyFont="1" applyBorder="1" applyAlignment="1">
      <alignment horizontal="center" vertical="center" wrapText="1"/>
    </xf>
    <xf numFmtId="0" fontId="54" fillId="0" borderId="69" xfId="0" applyFont="1" applyBorder="1" applyAlignment="1">
      <alignment horizontal="center" vertical="center" wrapText="1"/>
    </xf>
    <xf numFmtId="0" fontId="54" fillId="0" borderId="26" xfId="0" applyFont="1" applyBorder="1" applyAlignment="1">
      <alignment horizontal="center" vertical="center" wrapText="1"/>
    </xf>
    <xf numFmtId="3" fontId="52" fillId="0" borderId="67" xfId="0" applyNumberFormat="1" applyFont="1" applyBorder="1" applyAlignment="1">
      <alignment horizontal="center" vertical="center" wrapText="1"/>
    </xf>
    <xf numFmtId="3" fontId="52" fillId="0" borderId="21" xfId="0" applyNumberFormat="1" applyFont="1" applyBorder="1" applyAlignment="1">
      <alignment horizontal="center" vertical="center" wrapText="1"/>
    </xf>
    <xf numFmtId="173" fontId="52" fillId="4" borderId="19" xfId="0" applyNumberFormat="1" applyFont="1" applyFill="1" applyBorder="1" applyAlignment="1">
      <alignment horizontal="center" vertical="center" wrapText="1"/>
    </xf>
    <xf numFmtId="173" fontId="52" fillId="4" borderId="22" xfId="0" applyNumberFormat="1" applyFont="1" applyFill="1" applyBorder="1" applyAlignment="1">
      <alignment horizontal="center" vertical="center" wrapText="1"/>
    </xf>
    <xf numFmtId="0" fontId="52" fillId="0" borderId="47" xfId="0" applyFont="1" applyBorder="1" applyAlignment="1" applyProtection="1">
      <alignment horizontal="center" vertical="center" wrapText="1"/>
      <protection locked="0"/>
    </xf>
    <xf numFmtId="0" fontId="52" fillId="0" borderId="26" xfId="0" applyFont="1" applyBorder="1" applyAlignment="1" applyProtection="1">
      <alignment horizontal="center" vertical="center" wrapText="1"/>
      <protection locked="0"/>
    </xf>
    <xf numFmtId="0" fontId="52" fillId="0" borderId="27" xfId="0" applyFont="1" applyBorder="1" applyAlignment="1" applyProtection="1">
      <alignment horizontal="center" vertical="center" wrapText="1"/>
      <protection locked="0"/>
    </xf>
    <xf numFmtId="0" fontId="52" fillId="0" borderId="25" xfId="0" applyFont="1" applyBorder="1" applyAlignment="1" applyProtection="1">
      <alignment horizontal="center" vertical="center" wrapText="1"/>
      <protection locked="0"/>
    </xf>
    <xf numFmtId="0" fontId="52" fillId="0" borderId="11" xfId="0" applyFont="1" applyBorder="1" applyAlignment="1" applyProtection="1">
      <alignment horizontal="center" vertical="center" wrapText="1"/>
      <protection locked="0"/>
    </xf>
    <xf numFmtId="0" fontId="52" fillId="0" borderId="12" xfId="0" applyFont="1" applyBorder="1" applyAlignment="1" applyProtection="1">
      <alignment horizontal="center" vertical="center" wrapText="1"/>
      <protection locked="0"/>
    </xf>
    <xf numFmtId="0" fontId="54" fillId="0" borderId="52" xfId="0" applyFont="1" applyBorder="1" applyAlignment="1" applyProtection="1">
      <alignment horizontal="left" vertical="center"/>
      <protection locked="0"/>
    </xf>
    <xf numFmtId="0" fontId="54" fillId="0" borderId="35" xfId="0" applyFont="1" applyBorder="1" applyAlignment="1" applyProtection="1">
      <alignment horizontal="left" vertical="center"/>
      <protection locked="0"/>
    </xf>
    <xf numFmtId="0" fontId="54" fillId="0" borderId="53" xfId="0" applyFont="1" applyBorder="1" applyAlignment="1" applyProtection="1">
      <alignment horizontal="left" vertical="center"/>
      <protection locked="0"/>
    </xf>
    <xf numFmtId="173" fontId="52" fillId="4" borderId="15" xfId="0" applyNumberFormat="1" applyFont="1" applyFill="1" applyBorder="1" applyAlignment="1">
      <alignment horizontal="center" vertical="center" wrapText="1"/>
    </xf>
  </cellXfs>
  <cellStyles count="134">
    <cellStyle name="Euro" xfId="7"/>
    <cellStyle name="Euro 2" xfId="8"/>
    <cellStyle name="Excel Built-in Normal" xfId="123"/>
    <cellStyle name="Hipervínculo" xfId="5" builtinId="8"/>
    <cellStyle name="Hipervínculo 2" xfId="9"/>
    <cellStyle name="Millares" xfId="2" builtinId="3"/>
    <cellStyle name="Millares 10" xfId="124"/>
    <cellStyle name="Millares 13" xfId="10"/>
    <cellStyle name="Millares 2" xfId="11"/>
    <cellStyle name="Millares 2 2" xfId="12"/>
    <cellStyle name="Millares 2 2 2" xfId="13"/>
    <cellStyle name="Millares 2 2 3" xfId="14"/>
    <cellStyle name="Millares 2 2 4" xfId="15"/>
    <cellStyle name="Millares 2 2 5" xfId="16"/>
    <cellStyle name="Millares 2 2 6" xfId="17"/>
    <cellStyle name="Millares 2 2 7" xfId="18"/>
    <cellStyle name="Millares 2 2 8" xfId="19"/>
    <cellStyle name="Millares 2 2 9" xfId="20"/>
    <cellStyle name="Millares 2 3" xfId="21"/>
    <cellStyle name="Millares 2 3 2" xfId="22"/>
    <cellStyle name="Millares 2 4" xfId="23"/>
    <cellStyle name="Millares 2 5" xfId="24"/>
    <cellStyle name="Millares 2 6" xfId="25"/>
    <cellStyle name="Millares 2 7" xfId="26"/>
    <cellStyle name="Millares 2 8" xfId="27"/>
    <cellStyle name="Millares 2 9" xfId="28"/>
    <cellStyle name="Millares 3" xfId="29"/>
    <cellStyle name="Millares 3 2" xfId="30"/>
    <cellStyle name="Millares 4" xfId="31"/>
    <cellStyle name="Millares 4 2" xfId="32"/>
    <cellStyle name="Millares 5" xfId="33"/>
    <cellStyle name="Millares 5 2" xfId="34"/>
    <cellStyle name="Millares 6" xfId="35"/>
    <cellStyle name="Millares 7" xfId="36"/>
    <cellStyle name="Millares 8" xfId="120"/>
    <cellStyle name="Moneda" xfId="3" builtinId="4"/>
    <cellStyle name="Moneda 10" xfId="37"/>
    <cellStyle name="Moneda 2" xfId="38"/>
    <cellStyle name="Moneda 2 2" xfId="39"/>
    <cellStyle name="Moneda 2 2 2" xfId="40"/>
    <cellStyle name="Moneda 2 2 3" xfId="41"/>
    <cellStyle name="Moneda 2 2 4" xfId="42"/>
    <cellStyle name="Moneda 2 2 5" xfId="43"/>
    <cellStyle name="Moneda 2 2 6" xfId="44"/>
    <cellStyle name="Moneda 2 2 7" xfId="45"/>
    <cellStyle name="Moneda 2 3" xfId="46"/>
    <cellStyle name="Moneda 2 4" xfId="47"/>
    <cellStyle name="Moneda 2 5" xfId="48"/>
    <cellStyle name="Moneda 2 6" xfId="49"/>
    <cellStyle name="Moneda 2 7" xfId="50"/>
    <cellStyle name="Moneda 2 8" xfId="51"/>
    <cellStyle name="Moneda 3" xfId="52"/>
    <cellStyle name="Moneda 3 2" xfId="53"/>
    <cellStyle name="Moneda 3 3" xfId="132"/>
    <cellStyle name="Moneda 4" xfId="54"/>
    <cellStyle name="Moneda 4 2" xfId="55"/>
    <cellStyle name="Moneda 4 3" xfId="56"/>
    <cellStyle name="Moneda 4 4" xfId="57"/>
    <cellStyle name="Moneda 4 5" xfId="58"/>
    <cellStyle name="Moneda 5" xfId="133"/>
    <cellStyle name="NivelFila_1" xfId="1" builtinId="1" iLevel="0"/>
    <cellStyle name="Normal" xfId="0" builtinId="0"/>
    <cellStyle name="Normal 10" xfId="59"/>
    <cellStyle name="Normal 11" xfId="60"/>
    <cellStyle name="Normal 12" xfId="61"/>
    <cellStyle name="Normal 13" xfId="62"/>
    <cellStyle name="Normal 14" xfId="63"/>
    <cellStyle name="Normal 15" xfId="64"/>
    <cellStyle name="Normal 16" xfId="65"/>
    <cellStyle name="Normal 17" xfId="66"/>
    <cellStyle name="Normal 18" xfId="67"/>
    <cellStyle name="Normal 19" xfId="68"/>
    <cellStyle name="Normal 2" xfId="69"/>
    <cellStyle name="Normal 2 10 10" xfId="125"/>
    <cellStyle name="Normal 2 11" xfId="126"/>
    <cellStyle name="Normal 2 19" xfId="127"/>
    <cellStyle name="Normal 2 2" xfId="4"/>
    <cellStyle name="Normal 2 2 2" xfId="70"/>
    <cellStyle name="Normal 2 2 4 2" xfId="128"/>
    <cellStyle name="Normal 2 3" xfId="71"/>
    <cellStyle name="Normal 2 4" xfId="72"/>
    <cellStyle name="Normal 2 5" xfId="73"/>
    <cellStyle name="Normal 2 6" xfId="74"/>
    <cellStyle name="Normal 2 7" xfId="75"/>
    <cellStyle name="Normal 2 8" xfId="76"/>
    <cellStyle name="Normal 2 9" xfId="6"/>
    <cellStyle name="Normal 20" xfId="77"/>
    <cellStyle name="Normal 21" xfId="78"/>
    <cellStyle name="Normal 22" xfId="79"/>
    <cellStyle name="Normal 23" xfId="80"/>
    <cellStyle name="Normal 24" xfId="81"/>
    <cellStyle name="Normal 25" xfId="82"/>
    <cellStyle name="Normal 26" xfId="83"/>
    <cellStyle name="Normal 27" xfId="84"/>
    <cellStyle name="Normal 28" xfId="85"/>
    <cellStyle name="Normal 29" xfId="86"/>
    <cellStyle name="Normal 3" xfId="87"/>
    <cellStyle name="Normal 3 2" xfId="88"/>
    <cellStyle name="Normal 3 2 2" xfId="89"/>
    <cellStyle name="Normal 3 3" xfId="90"/>
    <cellStyle name="Normal 3 4" xfId="91"/>
    <cellStyle name="Normal 30" xfId="92"/>
    <cellStyle name="Normal 31" xfId="93"/>
    <cellStyle name="Normal 32" xfId="94"/>
    <cellStyle name="Normal 33" xfId="95"/>
    <cellStyle name="Normal 34" xfId="96"/>
    <cellStyle name="Normal 35" xfId="97"/>
    <cellStyle name="Normal 36" xfId="98"/>
    <cellStyle name="Normal 37" xfId="99"/>
    <cellStyle name="Normal 4" xfId="100"/>
    <cellStyle name="Normal 4 2" xfId="101"/>
    <cellStyle name="Normal 4 2 2" xfId="131"/>
    <cellStyle name="Normal 4 3" xfId="102"/>
    <cellStyle name="Normal 4 4" xfId="121"/>
    <cellStyle name="Normal 5" xfId="103"/>
    <cellStyle name="Normal 5 2" xfId="104"/>
    <cellStyle name="Normal 6" xfId="105"/>
    <cellStyle name="Normal 6 2" xfId="106"/>
    <cellStyle name="Normal 7" xfId="107"/>
    <cellStyle name="Normal 8" xfId="108"/>
    <cellStyle name="Normal 9" xfId="109"/>
    <cellStyle name="Normal 9 2" xfId="110"/>
    <cellStyle name="Normal_Costos 140 Protección 2007" xfId="129"/>
    <cellStyle name="Porcentaje 2" xfId="111"/>
    <cellStyle name="Porcentual" xfId="119" builtinId="5"/>
    <cellStyle name="Porcentual 2" xfId="112"/>
    <cellStyle name="Porcentual 2 2" xfId="113"/>
    <cellStyle name="Porcentual 2 2 2" xfId="114"/>
    <cellStyle name="Porcentual 2 3" xfId="115"/>
    <cellStyle name="Porcentual 3" xfId="116"/>
    <cellStyle name="Porcentual 3 2" xfId="117"/>
    <cellStyle name="Porcentual 4" xfId="130"/>
    <cellStyle name="Porcentual 5" xfId="118"/>
    <cellStyle name="Porcentual 5 2" xfId="122"/>
  </cellStyles>
  <dxfs count="3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39E-2"/>
        </c:manualLayout>
      </c:layout>
    </c:title>
    <c:plotArea>
      <c:layout>
        <c:manualLayout>
          <c:layoutTarget val="inner"/>
          <c:xMode val="edge"/>
          <c:yMode val="edge"/>
          <c:x val="3.2103934202585872E-2"/>
          <c:y val="0.21428799705782361"/>
          <c:w val="0.94230554221151663"/>
          <c:h val="0.74644421368545344"/>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Dept'!$BF$85:$BF$91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Dept'!$BG$85:$BG$91</c:f>
              <c:numCache>
                <c:formatCode>_("$"\ * #,##0_);_("$"\ * \(#,##0\);_("$"\ * "-"??_);_(@_)</c:formatCode>
                <c:ptCount val="7"/>
                <c:pt idx="0">
                  <c:v>776907033.53431141</c:v>
                </c:pt>
                <c:pt idx="1">
                  <c:v>532131238.47345835</c:v>
                </c:pt>
                <c:pt idx="2">
                  <c:v>94193947.676577464</c:v>
                </c:pt>
                <c:pt idx="3">
                  <c:v>66055854.657594405</c:v>
                </c:pt>
                <c:pt idx="4">
                  <c:v>14193322.798143158</c:v>
                </c:pt>
                <c:pt idx="5">
                  <c:v>5949947.1876494531</c:v>
                </c:pt>
                <c:pt idx="6">
                  <c:v>4005399.7722782297</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155" l="0.70000000000000062" r="0.70000000000000062" t="0.75000000000000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08E-2"/>
        </c:manualLayout>
      </c:layout>
    </c:title>
    <c:plotArea>
      <c:layout>
        <c:manualLayout>
          <c:layoutTarget val="inner"/>
          <c:xMode val="edge"/>
          <c:yMode val="edge"/>
          <c:x val="3.2103934202585872E-2"/>
          <c:y val="0.21428799705782464"/>
          <c:w val="0.94230554221151663"/>
          <c:h val="0.74644421368545744"/>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Dept'!$GB$85:$GB$91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Dept'!$GC$85:$GC$91</c:f>
              <c:numCache>
                <c:formatCode>_("$"\ * #,##0_);_("$"\ * \(#,##0\);_("$"\ * "-"??_);_(@_)</c:formatCode>
                <c:ptCount val="7"/>
                <c:pt idx="0">
                  <c:v>465310014.74585307</c:v>
                </c:pt>
                <c:pt idx="1">
                  <c:v>322322925.69839579</c:v>
                </c:pt>
                <c:pt idx="2">
                  <c:v>55615252.079635113</c:v>
                </c:pt>
                <c:pt idx="3">
                  <c:v>24268549.769402295</c:v>
                </c:pt>
                <c:pt idx="4">
                  <c:v>8380211.7305531465</c:v>
                </c:pt>
                <c:pt idx="5">
                  <c:v>3513047.5031988155</c:v>
                </c:pt>
                <c:pt idx="6">
                  <c:v>2364921.7758643669</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355" l="0.70000000000000062" r="0.70000000000000062" t="0.750000000000003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15E-2"/>
        </c:manualLayout>
      </c:layout>
    </c:title>
    <c:plotArea>
      <c:layout>
        <c:manualLayout>
          <c:layoutTarget val="inner"/>
          <c:xMode val="edge"/>
          <c:yMode val="edge"/>
          <c:x val="3.2103934202585872E-2"/>
          <c:y val="0.21428799705782475"/>
          <c:w val="0.94230554221151663"/>
          <c:h val="0.74644421368545788"/>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Dept'!$GP$85:$GP$91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Dept'!$GQ$85:$GQ$91</c:f>
              <c:numCache>
                <c:formatCode>_("$"\ * #,##0_);_("$"\ * \(#,##0\);_("$"\ * "-"??_);_(@_)</c:formatCode>
                <c:ptCount val="7"/>
                <c:pt idx="0">
                  <c:v>288056968.42011529</c:v>
                </c:pt>
                <c:pt idx="1">
                  <c:v>206376247.46174997</c:v>
                </c:pt>
                <c:pt idx="2">
                  <c:v>34787164.834439546</c:v>
                </c:pt>
                <c:pt idx="3">
                  <c:v>13408606.518712083</c:v>
                </c:pt>
                <c:pt idx="4">
                  <c:v>5241796.0166902626</c:v>
                </c:pt>
                <c:pt idx="5">
                  <c:v>2197400.1374659468</c:v>
                </c:pt>
                <c:pt idx="6">
                  <c:v>1479251.1147796093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377" l="0.70000000000000062" r="0.70000000000000062" t="0.75000000000000377"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22E-2"/>
        </c:manualLayout>
      </c:layout>
    </c:title>
    <c:plotArea>
      <c:layout>
        <c:manualLayout>
          <c:layoutTarget val="inner"/>
          <c:xMode val="edge"/>
          <c:yMode val="edge"/>
          <c:x val="3.2103934202585872E-2"/>
          <c:y val="0.21428799705782486"/>
          <c:w val="0.94230554221151663"/>
          <c:h val="0.746444213685458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Dept'!$HD$85:$HD$91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Dept'!$HE$85:$HE$91</c:f>
              <c:numCache>
                <c:formatCode>_("$"\ * #,##0_);_("$"\ * \(#,##0\);_("$"\ * "-"??_);_(@_)</c:formatCode>
                <c:ptCount val="7"/>
                <c:pt idx="0">
                  <c:v>920832251.74436903</c:v>
                </c:pt>
                <c:pt idx="1">
                  <c:v>632260261.02466667</c:v>
                </c:pt>
                <c:pt idx="2">
                  <c:v>111749801.2849765</c:v>
                </c:pt>
                <c:pt idx="3">
                  <c:v>78291447.595584422</c:v>
                </c:pt>
                <c:pt idx="4">
                  <c:v>16838672.137535103</c:v>
                </c:pt>
                <c:pt idx="5">
                  <c:v>7058897.4374334281</c:v>
                </c:pt>
                <c:pt idx="6">
                  <c:v>4751925.5712252557</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 l="0.70000000000000062" r="0.70000000000000062" t="0.750000000000004"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29E-2"/>
        </c:manualLayout>
      </c:layout>
    </c:title>
    <c:plotArea>
      <c:layout>
        <c:manualLayout>
          <c:layoutTarget val="inner"/>
          <c:xMode val="edge"/>
          <c:yMode val="edge"/>
          <c:x val="3.2103934202585872E-2"/>
          <c:y val="0.21428799705782497"/>
          <c:w val="0.94230554221151663"/>
          <c:h val="0.74644421368545877"/>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Dept'!$HR$85:$HR$91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Dept'!$HS$85:$HS$91</c:f>
              <c:numCache>
                <c:formatCode>_("$"\ * #,##0_);_("$"\ * \(#,##0\);_("$"\ * "-"??_);_(@_)</c:formatCode>
                <c:ptCount val="7"/>
                <c:pt idx="0">
                  <c:v>326381951.409464</c:v>
                </c:pt>
                <c:pt idx="1">
                  <c:v>231445799.51291665</c:v>
                </c:pt>
                <c:pt idx="2">
                  <c:v>39251980.536019705</c:v>
                </c:pt>
                <c:pt idx="3">
                  <c:v>15193862.742140623</c:v>
                </c:pt>
                <c:pt idx="4">
                  <c:v>5914562.9199772254</c:v>
                </c:pt>
                <c:pt idx="5">
                  <c:v>2479429.060578974</c:v>
                </c:pt>
                <c:pt idx="6">
                  <c:v>1669108.0242253989</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22" l="0.70000000000000062" r="0.70000000000000062" t="0.75000000000000422"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36E-2"/>
        </c:manualLayout>
      </c:layout>
    </c:title>
    <c:plotArea>
      <c:layout>
        <c:manualLayout>
          <c:layoutTarget val="inner"/>
          <c:xMode val="edge"/>
          <c:yMode val="edge"/>
          <c:x val="3.2103934202585872E-2"/>
          <c:y val="0.21428799705782509"/>
          <c:w val="0.94230554221151663"/>
          <c:h val="0.7464442136854592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Dept'!$IF$85:$IF$91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Dept'!$IG$85:$IG$91</c:f>
              <c:numCache>
                <c:formatCode>_("$"\ * #,##0_);_("$"\ * \(#,##0\);_("$"\ * "-"??_);_(@_)</c:formatCode>
                <c:ptCount val="7"/>
                <c:pt idx="0">
                  <c:v>211407002.4414179</c:v>
                </c:pt>
                <c:pt idx="1">
                  <c:v>156237143.35941666</c:v>
                </c:pt>
                <c:pt idx="2">
                  <c:v>26402204.964523125</c:v>
                </c:pt>
                <c:pt idx="3">
                  <c:v>17789503.316291302</c:v>
                </c:pt>
                <c:pt idx="4">
                  <c:v>3978334.3504287293</c:v>
                </c:pt>
                <c:pt idx="5">
                  <c:v>1667747.5469633772</c:v>
                </c:pt>
                <c:pt idx="6">
                  <c:v>1122698.30876661</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44" l="0.70000000000000062" r="0.70000000000000062" t="0.75000000000000444"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43E-2"/>
        </c:manualLayout>
      </c:layout>
    </c:title>
    <c:plotArea>
      <c:layout>
        <c:manualLayout>
          <c:layoutTarget val="inner"/>
          <c:xMode val="edge"/>
          <c:yMode val="edge"/>
          <c:x val="3.2103934202585872E-2"/>
          <c:y val="0.2142879970578252"/>
          <c:w val="0.94230554221151663"/>
          <c:h val="0.74644421368545966"/>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Dept'!$IT$85:$IT$91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Dept'!$IU$85:$IU$91</c:f>
              <c:numCache>
                <c:formatCode>_("$"\ * #,##0_);_("$"\ * \(#,##0\);_("$"\ * "-"??_);_(@_)</c:formatCode>
                <c:ptCount val="7"/>
                <c:pt idx="0">
                  <c:v>1361569556.1218791</c:v>
                </c:pt>
                <c:pt idx="1">
                  <c:v>920560109.61308336</c:v>
                </c:pt>
                <c:pt idx="2">
                  <c:v>164179890.96304163</c:v>
                </c:pt>
                <c:pt idx="3">
                  <c:v>114657063.65250628</c:v>
                </c:pt>
                <c:pt idx="4">
                  <c:v>24738937.552585933</c:v>
                </c:pt>
                <c:pt idx="5">
                  <c:v>10370747.851637742</c:v>
                </c:pt>
                <c:pt idx="6">
                  <c:v>6981405.0063383607</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66" l="0.70000000000000062" r="0.70000000000000062" t="0.75000000000000466"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Dept'!$JV$85:$JV$91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Dept'!$JW$85:$JW$91</c:f>
              <c:numCache>
                <c:formatCode>_("$"\ * #,##0_);_("$"\ * \(#,##0\);_("$"\ * "-"??_);_(@_)</c:formatCode>
                <c:ptCount val="7"/>
                <c:pt idx="0">
                  <c:v>450938146.12484735</c:v>
                </c:pt>
                <c:pt idx="1">
                  <c:v>312921843.67920834</c:v>
                </c:pt>
                <c:pt idx="2">
                  <c:v>55316056.913083777</c:v>
                </c:pt>
                <c:pt idx="3">
                  <c:v>43673687.759211145</c:v>
                </c:pt>
                <c:pt idx="4">
                  <c:v>8335128.4350415468</c:v>
                </c:pt>
                <c:pt idx="5">
                  <c:v>3494148.2481650114</c:v>
                </c:pt>
                <c:pt idx="6">
                  <c:v>2352199.1298607588</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Dept'!$KJ$85:$KJ$91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Dept'!$KK$85:$KK$91</c:f>
              <c:numCache>
                <c:formatCode>_("$"\ * #,##0_);_("$"\ * \(#,##0\);_("$"\ * "-"??_);_(@_)</c:formatCode>
                <c:ptCount val="7"/>
                <c:pt idx="0">
                  <c:v>268894476.92544097</c:v>
                </c:pt>
                <c:pt idx="1">
                  <c:v>193841471.43616664</c:v>
                </c:pt>
                <c:pt idx="2">
                  <c:v>33262843.438021775</c:v>
                </c:pt>
                <c:pt idx="3">
                  <c:v>22853006.937980309</c:v>
                </c:pt>
                <c:pt idx="4">
                  <c:v>5012108.37580531</c:v>
                </c:pt>
                <c:pt idx="5">
                  <c:v>2101113.3586504851</c:v>
                </c:pt>
                <c:pt idx="6">
                  <c:v>1414432.5492062205</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Dept'!$KX$85:$KX$91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Dept'!$KY$85:$KY$91</c:f>
              <c:numCache>
                <c:formatCode>_("$"\ * #,##0_);_("$"\ * \(#,##0\);_("$"\ * "-"??_);_(@_)</c:formatCode>
                <c:ptCount val="7"/>
                <c:pt idx="0">
                  <c:v>220988248.18875507</c:v>
                </c:pt>
                <c:pt idx="1">
                  <c:v>162504531.37220833</c:v>
                </c:pt>
                <c:pt idx="2">
                  <c:v>27058381.950431149</c:v>
                </c:pt>
                <c:pt idx="3">
                  <c:v>11520095.627812494</c:v>
                </c:pt>
                <c:pt idx="4">
                  <c:v>4077208.3439647402</c:v>
                </c:pt>
                <c:pt idx="5">
                  <c:v>1709196.2653599055</c:v>
                </c:pt>
                <c:pt idx="6">
                  <c:v>1150600.8568045641</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Dept'!$LL$85:$LL$91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Dept'!$LM$85:$LM$91</c:f>
              <c:numCache>
                <c:formatCode>_("$"\ * #,##0_);_("$"\ * \(#,##0\);_("$"\ * "-"??_);_(@_)</c:formatCode>
                <c:ptCount val="7"/>
                <c:pt idx="0">
                  <c:v>580491495.71389925</c:v>
                </c:pt>
                <c:pt idx="1">
                  <c:v>403649784.21122921</c:v>
                </c:pt>
                <c:pt idx="2">
                  <c:v>70794141.415571898</c:v>
                </c:pt>
                <c:pt idx="3">
                  <c:v>49349835.630665623</c:v>
                </c:pt>
                <c:pt idx="4">
                  <c:v>10667395.582343396</c:v>
                </c:pt>
                <c:pt idx="5">
                  <c:v>4471852.098862417</c:v>
                </c:pt>
                <c:pt idx="6">
                  <c:v>3010372.1618950153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6E-2"/>
        </c:manualLayout>
      </c:layout>
    </c:title>
    <c:plotArea>
      <c:layout>
        <c:manualLayout>
          <c:layoutTarget val="inner"/>
          <c:xMode val="edge"/>
          <c:yMode val="edge"/>
          <c:x val="3.2103934202585872E-2"/>
          <c:y val="0.21428799705782375"/>
          <c:w val="0.94230554221151663"/>
          <c:h val="0.74644421368545388"/>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Dept'!$BT$85:$BT$91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Dept'!$BU$85:$BU$91</c:f>
              <c:numCache>
                <c:formatCode>_("$"\ * #,##0_);_("$"\ * \(#,##0\);_("$"\ * "-"??_);_(@_)</c:formatCode>
                <c:ptCount val="7"/>
                <c:pt idx="0">
                  <c:v>671513330.31360245</c:v>
                </c:pt>
                <c:pt idx="1">
                  <c:v>463189970.33275008</c:v>
                </c:pt>
                <c:pt idx="2">
                  <c:v>80584621.32236442</c:v>
                </c:pt>
                <c:pt idx="3">
                  <c:v>41714528.877215654</c:v>
                </c:pt>
                <c:pt idx="4">
                  <c:v>12142643.675171709</c:v>
                </c:pt>
                <c:pt idx="5">
                  <c:v>5090287.1451052446</c:v>
                </c:pt>
                <c:pt idx="6">
                  <c:v>3426691.7552069807</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178" l="0.70000000000000062" r="0.70000000000000062" t="0.75000000000000178"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Dept'!$LZ$85:$LZ$91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Dept'!$MA$85:$MA$91</c:f>
              <c:numCache>
                <c:formatCode>_("$"\ * #,##0_);_("$"\ * \(#,##0\);_("$"\ * "-"??_);_(@_)</c:formatCode>
                <c:ptCount val="7"/>
                <c:pt idx="0">
                  <c:v>575700872.84023058</c:v>
                </c:pt>
                <c:pt idx="1">
                  <c:v>400516090.20483333</c:v>
                </c:pt>
                <c:pt idx="2">
                  <c:v>70223414.433596149</c:v>
                </c:pt>
                <c:pt idx="3">
                  <c:v>48942371.751960039</c:v>
                </c:pt>
                <c:pt idx="4">
                  <c:v>10581397.357567791</c:v>
                </c:pt>
                <c:pt idx="5">
                  <c:v>4435800.999135904</c:v>
                </c:pt>
                <c:pt idx="6">
                  <c:v>2986103.1957881073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Dept'!$MN$85:$MN$91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Dept'!$MO$85:$MO$91</c:f>
              <c:numCache>
                <c:formatCode>_("$"\ * #,##0_);_("$"\ * \(#,##0\);_("$"\ * "-"??_);_(@_)</c:formatCode>
                <c:ptCount val="7"/>
                <c:pt idx="0">
                  <c:v>604444610.08224225</c:v>
                </c:pt>
                <c:pt idx="1">
                  <c:v>419318254.24320835</c:v>
                </c:pt>
                <c:pt idx="2">
                  <c:v>71857682.110125825</c:v>
                </c:pt>
                <c:pt idx="3">
                  <c:v>25254392.756678045</c:v>
                </c:pt>
                <c:pt idx="4">
                  <c:v>10827651.912597179</c:v>
                </c:pt>
                <c:pt idx="5">
                  <c:v>4539032.7524033394</c:v>
                </c:pt>
                <c:pt idx="6">
                  <c:v>3055596.9959831</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Dept'!$NB$85:$NB$91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Dept'!$NC$85:$NC$91</c:f>
              <c:numCache>
                <c:formatCode>_("$"\ * #,##0_);_("$"\ * \(#,##0\);_("$"\ * "-"??_);_(@_)</c:formatCode>
                <c:ptCount val="7"/>
                <c:pt idx="0">
                  <c:v>1126829035.3121183</c:v>
                </c:pt>
                <c:pt idx="1">
                  <c:v>767009103.29968739</c:v>
                </c:pt>
                <c:pt idx="2">
                  <c:v>137521206.12820268</c:v>
                </c:pt>
                <c:pt idx="3">
                  <c:v>113770709.97509444</c:v>
                </c:pt>
                <c:pt idx="4">
                  <c:v>20721956.328547895</c:v>
                </c:pt>
                <c:pt idx="5">
                  <c:v>8686799.2458938733</c:v>
                </c:pt>
                <c:pt idx="6">
                  <c:v>5847800.4298178572</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Dept'!$NP$85:$NP$91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Dept'!$NQ$85:$NQ$91</c:f>
              <c:numCache>
                <c:formatCode>_("$"\ * #,##0_);_("$"\ * \(#,##0\);_("$"\ * "-"??_);_(@_)</c:formatCode>
                <c:ptCount val="7"/>
                <c:pt idx="0">
                  <c:v>182456733.19940639</c:v>
                </c:pt>
                <c:pt idx="1">
                  <c:v>131316776.96170834</c:v>
                </c:pt>
                <c:pt idx="2">
                  <c:v>21891781.651439559</c:v>
                </c:pt>
                <c:pt idx="3">
                  <c:v>5814543.1445722058</c:v>
                </c:pt>
                <c:pt idx="4">
                  <c:v>3298695.2056858419</c:v>
                </c:pt>
                <c:pt idx="5">
                  <c:v>1382837.7287770079</c:v>
                </c:pt>
                <c:pt idx="6">
                  <c:v>930902.03143959353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Dept'!$OD$85:$OD$91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Dept'!$OE$85:$OE$91</c:f>
              <c:numCache>
                <c:formatCode>_("$"\ * #,##0_);_("$"\ * \(#,##0\);_("$"\ * "-"??_);_(@_)</c:formatCode>
                <c:ptCount val="7"/>
                <c:pt idx="0">
                  <c:v>230569493.93609226</c:v>
                </c:pt>
                <c:pt idx="1">
                  <c:v>168771919.38499999</c:v>
                </c:pt>
                <c:pt idx="2">
                  <c:v>28531133.095216412</c:v>
                </c:pt>
                <c:pt idx="3">
                  <c:v>17171478.579877224</c:v>
                </c:pt>
                <c:pt idx="4">
                  <c:v>4299125.2814631555</c:v>
                </c:pt>
                <c:pt idx="5">
                  <c:v>1802225.5071335947</c:v>
                </c:pt>
                <c:pt idx="6">
                  <c:v>1213226.5057496529</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Dept'!$OR$85:$OR$91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Dept'!$OS$85:$OS$91</c:f>
              <c:numCache>
                <c:formatCode>_("$"\ * #,##0_);_("$"\ * \(#,##0\);_("$"\ * "-"??_);_(@_)</c:formatCode>
                <c:ptCount val="7"/>
                <c:pt idx="0">
                  <c:v>297638214.16745245</c:v>
                </c:pt>
                <c:pt idx="1">
                  <c:v>212643635.47454166</c:v>
                </c:pt>
                <c:pt idx="2">
                  <c:v>36045822.238706291</c:v>
                </c:pt>
                <c:pt idx="3">
                  <c:v>15934533.404813053</c:v>
                </c:pt>
                <c:pt idx="4">
                  <c:v>5431452.9030580595</c:v>
                </c:pt>
                <c:pt idx="5">
                  <c:v>2276905.7242627228</c:v>
                </c:pt>
                <c:pt idx="6">
                  <c:v>1532772.877109143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Dept'!$PF$85:$PF$91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Dept'!$PG$85:$PG$91</c:f>
              <c:numCache>
                <c:formatCode>_("$"\ * #,##0_);_("$"\ * \(#,##0\);_("$"\ * "-"??_);_(@_)</c:formatCode>
                <c:ptCount val="7"/>
                <c:pt idx="0">
                  <c:v>72272407.105028823</c:v>
                </c:pt>
                <c:pt idx="1">
                  <c:v>59241814.814604163</c:v>
                </c:pt>
                <c:pt idx="2">
                  <c:v>9166309.4397290088</c:v>
                </c:pt>
                <c:pt idx="3">
                  <c:v>2300514.4267758853</c:v>
                </c:pt>
                <c:pt idx="4">
                  <c:v>1381196.9022940919</c:v>
                </c:pt>
                <c:pt idx="5">
                  <c:v>579008.08297476301</c:v>
                </c:pt>
                <c:pt idx="6">
                  <c:v>389778.0552587664</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Dept'!$PT$85:$PT$91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Dept'!$PU$85:$PU$91</c:f>
              <c:numCache>
                <c:formatCode>_("$"\ * #,##0_);_("$"\ * \(#,##0\);_("$"\ * "-"??_);_(@_)</c:formatCode>
                <c:ptCount val="7"/>
                <c:pt idx="0">
                  <c:v>115388012.96804613</c:v>
                </c:pt>
                <c:pt idx="1">
                  <c:v>87445060.872166663</c:v>
                </c:pt>
                <c:pt idx="2">
                  <c:v>14145842.044311397</c:v>
                </c:pt>
                <c:pt idx="3">
                  <c:v>3675569.1424353146</c:v>
                </c:pt>
                <c:pt idx="4">
                  <c:v>2131522.325360429</c:v>
                </c:pt>
                <c:pt idx="5">
                  <c:v>893550.11828868475</c:v>
                </c:pt>
                <c:pt idx="6">
                  <c:v>601522.21985126392</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Dept'!$QH$85:$QH$91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Dept'!$QI$85:$QI$91</c:f>
              <c:numCache>
                <c:formatCode>_("$"\ * #,##0_);_("$"\ * \(#,##0\);_("$"\ * "-"??_);_(@_)</c:formatCode>
                <c:ptCount val="7"/>
                <c:pt idx="0">
                  <c:v>38738046.98934871</c:v>
                </c:pt>
                <c:pt idx="1">
                  <c:v>37305956.769833334</c:v>
                </c:pt>
                <c:pt idx="2">
                  <c:v>5293339.6361649297</c:v>
                </c:pt>
                <c:pt idx="3">
                  <c:v>1231027.4257074401</c:v>
                </c:pt>
                <c:pt idx="4">
                  <c:v>797610.46213138569</c:v>
                </c:pt>
                <c:pt idx="5">
                  <c:v>334364.27773060161</c:v>
                </c:pt>
                <c:pt idx="6">
                  <c:v>225088.14946460171</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Dept'!$QV$85:$QV$91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Dept'!$QW$85:$QW$91</c:f>
              <c:numCache>
                <c:formatCode>_("$"\ * #,##0_);_("$"\ * \(#,##0\);_("$"\ * "-"??_);_(@_)</c:formatCode>
                <c:ptCount val="7"/>
                <c:pt idx="0">
                  <c:v>96225521.473371774</c:v>
                </c:pt>
                <c:pt idx="1">
                  <c:v>74910284.846583337</c:v>
                </c:pt>
                <c:pt idx="2">
                  <c:v>11932716.442274781</c:v>
                </c:pt>
                <c:pt idx="3">
                  <c:v>3064433.7132533463</c:v>
                </c:pt>
                <c:pt idx="4">
                  <c:v>1798044.3595531681</c:v>
                </c:pt>
                <c:pt idx="5">
                  <c:v>753753.65814916394</c:v>
                </c:pt>
                <c:pt idx="6">
                  <c:v>507413.70225459832</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53E-2"/>
        </c:manualLayout>
      </c:layout>
    </c:title>
    <c:plotArea>
      <c:layout>
        <c:manualLayout>
          <c:layoutTarget val="inner"/>
          <c:xMode val="edge"/>
          <c:yMode val="edge"/>
          <c:x val="3.2103934202585872E-2"/>
          <c:y val="0.21428799705782386"/>
          <c:w val="0.94230554221151663"/>
          <c:h val="0.74644421368545433"/>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Dept'!$CH$85:$CH$91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Dept'!$CI$85:$CI$91</c:f>
              <c:numCache>
                <c:formatCode>_("$"\ * #,##0_);_("$"\ * \(#,##0\);_("$"\ * "-"??_);_(@_)</c:formatCode>
                <c:ptCount val="7"/>
                <c:pt idx="0">
                  <c:v>681094576.06093955</c:v>
                </c:pt>
                <c:pt idx="1">
                  <c:v>469457358.34554172</c:v>
                </c:pt>
                <c:pt idx="2">
                  <c:v>80550963.158609539</c:v>
                </c:pt>
                <c:pt idx="3">
                  <c:v>25374535.062271141</c:v>
                </c:pt>
                <c:pt idx="4">
                  <c:v>12137571.999180317</c:v>
                </c:pt>
                <c:pt idx="5">
                  <c:v>5088161.0605561361</c:v>
                </c:pt>
                <c:pt idx="6">
                  <c:v>3425260.5124916639</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 l="0.70000000000000062" r="0.70000000000000062" t="0.750000000000002"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Dept'!$RJ$85:$RJ$91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Dept'!$RK$85:$RK$91</c:f>
              <c:numCache>
                <c:formatCode>_("$"\ * #,##0_);_("$"\ * \(#,##0\);_("$"\ * "-"??_);_(@_)</c:formatCode>
                <c:ptCount val="7"/>
                <c:pt idx="0">
                  <c:v>38738046.98934871</c:v>
                </c:pt>
                <c:pt idx="1">
                  <c:v>37305956.769833334</c:v>
                </c:pt>
                <c:pt idx="2">
                  <c:v>5307560.5168877272</c:v>
                </c:pt>
                <c:pt idx="3">
                  <c:v>1438631.5238504603</c:v>
                </c:pt>
                <c:pt idx="4">
                  <c:v>799753.29142722941</c:v>
                </c:pt>
                <c:pt idx="5">
                  <c:v>335262.56781557639</c:v>
                </c:pt>
                <c:pt idx="6">
                  <c:v>225692.86254663815</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Dept'!$RX$85:$RX$91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Dept'!$RY$85:$RY$91</c:f>
              <c:numCache>
                <c:formatCode>_("$"\ * #,##0_);_("$"\ * \(#,##0\);_("$"\ * "-"??_);_(@_)</c:formatCode>
                <c:ptCount val="7"/>
                <c:pt idx="0">
                  <c:v>62691161.357691653</c:v>
                </c:pt>
                <c:pt idx="1">
                  <c:v>52974426.8018125</c:v>
                </c:pt>
                <c:pt idx="2">
                  <c:v>8059746.6387107009</c:v>
                </c:pt>
                <c:pt idx="3">
                  <c:v>1994946.7121849011</c:v>
                </c:pt>
                <c:pt idx="4">
                  <c:v>1214457.9193904616</c:v>
                </c:pt>
                <c:pt idx="5">
                  <c:v>509109.8529050026</c:v>
                </c:pt>
                <c:pt idx="6">
                  <c:v>342723.79646043363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Dept'!$SZ$85:$SZ$91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Dept'!$TA$85:$TA$91</c:f>
              <c:numCache>
                <c:formatCode>_("$"\ * #,##0_);_("$"\ * \(#,##0\);_("$"\ * "-"??_);_(@_)</c:formatCode>
                <c:ptCount val="7"/>
                <c:pt idx="0">
                  <c:v>16829256220.829409</c:v>
                </c:pt>
                <c:pt idx="1">
                  <c:v>11696591845.759918</c:v>
                </c:pt>
                <c:pt idx="2">
                  <c:v>2048026091.3556938</c:v>
                </c:pt>
                <c:pt idx="3">
                  <c:v>1372343048.0923336</c:v>
                </c:pt>
                <c:pt idx="4">
                  <c:v>308600458.21032083</c:v>
                </c:pt>
                <c:pt idx="5">
                  <c:v>129367622.68776457</c:v>
                </c:pt>
                <c:pt idx="6">
                  <c:v>87088007.69346872</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39E-2"/>
        </c:manualLayout>
      </c:layout>
    </c:title>
    <c:plotArea>
      <c:layout>
        <c:manualLayout>
          <c:layoutTarget val="inner"/>
          <c:xMode val="edge"/>
          <c:yMode val="edge"/>
          <c:x val="3.2103934202585872E-2"/>
          <c:y val="0.21428799705782361"/>
          <c:w val="0.94230554221151663"/>
          <c:h val="0.74644421368545344"/>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Dept'!$BT$85:$BT$91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Dept'!$BU$85:$BU$91</c:f>
              <c:numCache>
                <c:formatCode>_("$"\ * #,##0_);_("$"\ * \(#,##0\);_("$"\ * "-"??_);_(@_)</c:formatCode>
                <c:ptCount val="7"/>
                <c:pt idx="0">
                  <c:v>671513330.31360245</c:v>
                </c:pt>
                <c:pt idx="1">
                  <c:v>463189970.33275008</c:v>
                </c:pt>
                <c:pt idx="2">
                  <c:v>80584621.32236442</c:v>
                </c:pt>
                <c:pt idx="3">
                  <c:v>41714528.877215654</c:v>
                </c:pt>
                <c:pt idx="4">
                  <c:v>12142643.675171709</c:v>
                </c:pt>
                <c:pt idx="5">
                  <c:v>5090287.1451052446</c:v>
                </c:pt>
                <c:pt idx="6">
                  <c:v>3426691.7552069807</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155" l="0.70000000000000062" r="0.70000000000000062" t="0.75000000000000155"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Dept'!$RX$85:$RX$91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Dept'!$RY$85:$RY$91</c:f>
              <c:numCache>
                <c:formatCode>_("$"\ * #,##0_);_("$"\ * \(#,##0\);_("$"\ * "-"??_);_(@_)</c:formatCode>
                <c:ptCount val="7"/>
                <c:pt idx="0">
                  <c:v>62691161.357691653</c:v>
                </c:pt>
                <c:pt idx="1">
                  <c:v>52974426.8018125</c:v>
                </c:pt>
                <c:pt idx="2">
                  <c:v>8059746.6387107009</c:v>
                </c:pt>
                <c:pt idx="3">
                  <c:v>1994946.7121849011</c:v>
                </c:pt>
                <c:pt idx="4">
                  <c:v>1214457.9193904616</c:v>
                </c:pt>
                <c:pt idx="5">
                  <c:v>509109.8529050026</c:v>
                </c:pt>
                <c:pt idx="6">
                  <c:v>342723.79646043363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43E-2"/>
        </c:manualLayout>
      </c:layout>
    </c:title>
    <c:plotArea>
      <c:layout>
        <c:manualLayout>
          <c:layoutTarget val="inner"/>
          <c:xMode val="edge"/>
          <c:yMode val="edge"/>
          <c:x val="3.2103934202585872E-2"/>
          <c:y val="0.2142879970578252"/>
          <c:w val="0.94230554221151663"/>
          <c:h val="0.74644421368545966"/>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Dept'!$JH$85:$JH$91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Dept'!$JI$85:$JI$91</c:f>
              <c:numCache>
                <c:formatCode>_("$"\ * #,##0_);_("$"\ * \(#,##0\);_("$"\ * "-"??_);_(@_)</c:formatCode>
                <c:ptCount val="7"/>
                <c:pt idx="0">
                  <c:v>1572976558.563297</c:v>
                </c:pt>
                <c:pt idx="1">
                  <c:v>1076797252.9724998</c:v>
                </c:pt>
                <c:pt idx="2">
                  <c:v>190582095.92756477</c:v>
                </c:pt>
                <c:pt idx="3">
                  <c:v>132446566.96879758</c:v>
                </c:pt>
                <c:pt idx="4">
                  <c:v>28717271.90301466</c:v>
                </c:pt>
                <c:pt idx="5">
                  <c:v>12038495.398601117</c:v>
                </c:pt>
                <c:pt idx="6">
                  <c:v>8104103.3151049707</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66" l="0.70000000000000062" r="0.70000000000000062" t="0.75000000000000466"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6E-2"/>
        </c:manualLayout>
      </c:layout>
    </c:title>
    <c:plotArea>
      <c:layout>
        <c:manualLayout>
          <c:layoutTarget val="inner"/>
          <c:xMode val="edge"/>
          <c:yMode val="edge"/>
          <c:x val="3.2103934202585872E-2"/>
          <c:y val="0.21428799705782375"/>
          <c:w val="0.94230554221151663"/>
          <c:h val="0.74644421368545388"/>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Dept'!$B$85:$B$91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Dept'!$C$85:$C$91</c:f>
              <c:numCache>
                <c:formatCode>_("$"\ * #,##0_);_("$"\ * \(#,##0\);_("$"\ * "-"??_);_(@_)</c:formatCode>
                <c:ptCount val="7"/>
                <c:pt idx="0">
                  <c:v>1495706996.5845997</c:v>
                </c:pt>
                <c:pt idx="1">
                  <c:v>1008303541.7921667</c:v>
                </c:pt>
                <c:pt idx="2">
                  <c:v>184117596.98518264</c:v>
                </c:pt>
                <c:pt idx="3">
                  <c:v>183837592.79378265</c:v>
                </c:pt>
                <c:pt idx="4">
                  <c:v>27743188.933984373</c:v>
                </c:pt>
                <c:pt idx="5">
                  <c:v>11630152.524663435</c:v>
                </c:pt>
                <c:pt idx="6">
                  <c:v>7829214.0761422347</c:v>
                </c:pt>
              </c:numCache>
            </c:numRef>
          </c:val>
        </c:ser>
        <c:dLbls>
          <c:showPercent val="1"/>
        </c:dLbls>
        <c:gapWidth val="100"/>
        <c:secondPieSize val="75"/>
        <c:serLines/>
      </c:ofPieChart>
    </c:plotArea>
    <c:legend>
      <c:legendPos val="t"/>
      <c:layout/>
    </c:legend>
    <c:plotVisOnly val="1"/>
    <c:dispBlanksAs val="zero"/>
  </c:chart>
  <c:spPr>
    <a:ln w="25400" cmpd="sng">
      <a:solidFill>
        <a:schemeClr val="tx1"/>
      </a:solidFill>
    </a:ln>
  </c:spPr>
  <c:printSettings>
    <c:headerFooter/>
    <c:pageMargins b="0.75000000000000178" l="0.70000000000000062" r="0.70000000000000062" t="0.75000000000000178"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53E-2"/>
        </c:manualLayout>
      </c:layout>
    </c:title>
    <c:plotArea>
      <c:layout>
        <c:manualLayout>
          <c:layoutTarget val="inner"/>
          <c:xMode val="edge"/>
          <c:yMode val="edge"/>
          <c:x val="3.2103934202585872E-2"/>
          <c:y val="0.21428799705782386"/>
          <c:w val="0.94230554221151663"/>
          <c:h val="0.74644421368545433"/>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Dept'!$P$85:$P$91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Dept'!$Q$85:$Q$91</c:f>
              <c:numCache>
                <c:formatCode>_("$"\ * #,##0_);_("$"\ * \(#,##0\);_("$"\ * "-"??_);_(@_)</c:formatCode>
                <c:ptCount val="7"/>
                <c:pt idx="0">
                  <c:v>345544442.90413839</c:v>
                </c:pt>
                <c:pt idx="1">
                  <c:v>243980575.53849998</c:v>
                </c:pt>
                <c:pt idx="2">
                  <c:v>43290646.212720238</c:v>
                </c:pt>
                <c:pt idx="3">
                  <c:v>42455218.239408858</c:v>
                </c:pt>
                <c:pt idx="4">
                  <c:v>6523116.7287634546</c:v>
                </c:pt>
                <c:pt idx="5">
                  <c:v>2734539.3736900585</c:v>
                </c:pt>
                <c:pt idx="6">
                  <c:v>1840843.7989835336</c:v>
                </c:pt>
              </c:numCache>
            </c:numRef>
          </c:val>
        </c:ser>
        <c:dLbls>
          <c:showPercent val="1"/>
        </c:dLbls>
        <c:gapWidth val="100"/>
        <c:secondPieSize val="75"/>
        <c:serLines/>
      </c:ofPieChart>
    </c:plotArea>
    <c:legend>
      <c:legendPos val="t"/>
      <c:layout/>
    </c:legend>
    <c:plotVisOnly val="1"/>
    <c:dispBlanksAs val="zero"/>
  </c:chart>
  <c:spPr>
    <a:ln w="25400" cmpd="sng">
      <a:solidFill>
        <a:schemeClr val="tx1"/>
      </a:solidFill>
    </a:ln>
  </c:spPr>
  <c:printSettings>
    <c:headerFooter/>
    <c:pageMargins b="0.750000000000002" l="0.70000000000000062" r="0.70000000000000062" t="0.750000000000002"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6E-2"/>
        </c:manualLayout>
      </c:layout>
    </c:title>
    <c:plotArea>
      <c:layout>
        <c:manualLayout>
          <c:layoutTarget val="inner"/>
          <c:xMode val="edge"/>
          <c:yMode val="edge"/>
          <c:x val="3.2103934202585872E-2"/>
          <c:y val="0.21428799705782398"/>
          <c:w val="0.94230554221151663"/>
          <c:h val="0.74644421368545477"/>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Dept'!$AD$85:$AD$91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Dept'!$AE$85:$AE$91</c:f>
              <c:numCache>
                <c:formatCode>_("$"\ * #,##0_);_("$"\ * \(#,##0\);_("$"\ * "-"??_);_(@_)</c:formatCode>
                <c:ptCount val="7"/>
                <c:pt idx="0">
                  <c:v>1841251439.4887381</c:v>
                </c:pt>
                <c:pt idx="1">
                  <c:v>1252284117.3306668</c:v>
                </c:pt>
                <c:pt idx="2">
                  <c:v>227408243.19790286</c:v>
                </c:pt>
                <c:pt idx="3">
                  <c:v>226292811.0331915</c:v>
                </c:pt>
                <c:pt idx="4">
                  <c:v>34266305.662747823</c:v>
                </c:pt>
                <c:pt idx="5">
                  <c:v>14364691.898353491</c:v>
                </c:pt>
                <c:pt idx="6">
                  <c:v>9670057.8751257695</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22" l="0.70000000000000062" r="0.70000000000000062" t="0.75000000000000222"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67E-2"/>
        </c:manualLayout>
      </c:layout>
    </c:title>
    <c:plotArea>
      <c:layout>
        <c:manualLayout>
          <c:layoutTarget val="inner"/>
          <c:xMode val="edge"/>
          <c:yMode val="edge"/>
          <c:x val="3.2103934202585872E-2"/>
          <c:y val="0.21428799705782409"/>
          <c:w val="0.94230554221151663"/>
          <c:h val="0.7464442136854552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Dept'!$AR$85:$AR$91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Dept'!$AS$85:$AS$91</c:f>
              <c:numCache>
                <c:formatCode>_("$"\ * #,##0_);_("$"\ * \(#,##0\);_("$"\ * "-"??_);_(@_)</c:formatCode>
                <c:ptCount val="7"/>
                <c:pt idx="0">
                  <c:v>537375889.85088193</c:v>
                </c:pt>
                <c:pt idx="1">
                  <c:v>375446538.15366662</c:v>
                </c:pt>
                <c:pt idx="2">
                  <c:v>65657598.577790186</c:v>
                </c:pt>
                <c:pt idx="3">
                  <c:v>45682660.722315401</c:v>
                </c:pt>
                <c:pt idx="4">
                  <c:v>9893411.5593629591</c:v>
                </c:pt>
                <c:pt idx="5">
                  <c:v>4147392.2013238003</c:v>
                </c:pt>
                <c:pt idx="6">
                  <c:v>2791951.4669328467</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6E-2"/>
        </c:manualLayout>
      </c:layout>
    </c:title>
    <c:plotArea>
      <c:layout>
        <c:manualLayout>
          <c:layoutTarget val="inner"/>
          <c:xMode val="edge"/>
          <c:yMode val="edge"/>
          <c:x val="3.2103934202585872E-2"/>
          <c:y val="0.21428799705782398"/>
          <c:w val="0.94230554221151663"/>
          <c:h val="0.74644421368545477"/>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Dept'!$CV$85:$CV$91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Dept'!$CW$85:$CW$91</c:f>
              <c:numCache>
                <c:formatCode>_("$"\ * #,##0_);_("$"\ * \(#,##0\);_("$"\ * "-"??_);_(@_)</c:formatCode>
                <c:ptCount val="7"/>
                <c:pt idx="0">
                  <c:v>364706934.39881277</c:v>
                </c:pt>
                <c:pt idx="1">
                  <c:v>256515351.56408334</c:v>
                </c:pt>
                <c:pt idx="2">
                  <c:v>44182191.958652705</c:v>
                </c:pt>
                <c:pt idx="3">
                  <c:v>23773217.083128672</c:v>
                </c:pt>
                <c:pt idx="4">
                  <c:v>6657456.5337451855</c:v>
                </c:pt>
                <c:pt idx="5">
                  <c:v>2790855.6257903059</c:v>
                </c:pt>
                <c:pt idx="6">
                  <c:v>1878754.9091537416</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22" l="0.70000000000000062" r="0.70000000000000062" t="0.75000000000000222"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lang val="es-CO"/>
  <c:style val="12"/>
  <c:chart>
    <c:title>
      <c:layout/>
      <c:txPr>
        <a:bodyPr/>
        <a:lstStyle/>
        <a:p>
          <a:pPr>
            <a:defRPr sz="2400"/>
          </a:pPr>
          <a:endParaRPr lang="es-CO"/>
        </a:p>
      </c:txPr>
    </c:title>
    <c:plotArea>
      <c:layout>
        <c:manualLayout>
          <c:layoutTarget val="inner"/>
          <c:xMode val="edge"/>
          <c:yMode val="edge"/>
          <c:x val="0.34732343141612443"/>
          <c:y val="0.10053562849819712"/>
          <c:w val="0.33208840209311685"/>
          <c:h val="0.84494195190547383"/>
        </c:manualLayout>
      </c:layout>
      <c:radarChart>
        <c:radarStyle val="marker"/>
        <c:ser>
          <c:idx val="0"/>
          <c:order val="0"/>
          <c:tx>
            <c:strRef>
              <c:f>'Analisis de Escenarios'!$U$3</c:f>
              <c:strCache>
                <c:ptCount val="1"/>
                <c:pt idx="0">
                  <c:v>COSTO CUPO MES NNA</c:v>
                </c:pt>
              </c:strCache>
            </c:strRef>
          </c:tx>
          <c:cat>
            <c:strRef>
              <c:f>'Analisis de Escenarios'!$B$9:$B$40</c:f>
              <c:strCache>
                <c:ptCount val="32"/>
                <c:pt idx="0">
                  <c:v>ANTIOQUIA</c:v>
                </c:pt>
                <c:pt idx="1">
                  <c:v>ATLÁNTICO</c:v>
                </c:pt>
                <c:pt idx="2">
                  <c:v>BOLIVAR</c:v>
                </c:pt>
                <c:pt idx="3">
                  <c:v>BOYACA</c:v>
                </c:pt>
                <c:pt idx="4">
                  <c:v>CALDAS</c:v>
                </c:pt>
                <c:pt idx="5">
                  <c:v>CAQUETA</c:v>
                </c:pt>
                <c:pt idx="6">
                  <c:v>CAUCA</c:v>
                </c:pt>
                <c:pt idx="7">
                  <c:v>CESAR</c:v>
                </c:pt>
                <c:pt idx="8">
                  <c:v>CÓRDOBA</c:v>
                </c:pt>
                <c:pt idx="9">
                  <c:v>CUNDINAMARCA</c:v>
                </c:pt>
                <c:pt idx="10">
                  <c:v>CHOCÓ</c:v>
                </c:pt>
                <c:pt idx="11">
                  <c:v>HUILA</c:v>
                </c:pt>
                <c:pt idx="12">
                  <c:v>LA GUAJIRA</c:v>
                </c:pt>
                <c:pt idx="13">
                  <c:v>MAGDALENA</c:v>
                </c:pt>
                <c:pt idx="14">
                  <c:v>META</c:v>
                </c:pt>
                <c:pt idx="15">
                  <c:v>NARIÑO</c:v>
                </c:pt>
                <c:pt idx="16">
                  <c:v>NORTE DE SANTANDER</c:v>
                </c:pt>
                <c:pt idx="17">
                  <c:v>QUINDÍO</c:v>
                </c:pt>
                <c:pt idx="18">
                  <c:v>RISARALDA</c:v>
                </c:pt>
                <c:pt idx="19">
                  <c:v>SANTANDER</c:v>
                </c:pt>
                <c:pt idx="20">
                  <c:v>SUCRE</c:v>
                </c:pt>
                <c:pt idx="21">
                  <c:v>TOLIMA</c:v>
                </c:pt>
                <c:pt idx="22">
                  <c:v>VALLE DEL CAUCA</c:v>
                </c:pt>
                <c:pt idx="23">
                  <c:v>ARAUCA</c:v>
                </c:pt>
                <c:pt idx="24">
                  <c:v>CASANARE</c:v>
                </c:pt>
                <c:pt idx="25">
                  <c:v>PUTUMAYO</c:v>
                </c:pt>
                <c:pt idx="26">
                  <c:v>ARCHIPIELAGO DE SAN ANDRES</c:v>
                </c:pt>
                <c:pt idx="27">
                  <c:v>AMAZONAS</c:v>
                </c:pt>
                <c:pt idx="28">
                  <c:v>GUAINIA</c:v>
                </c:pt>
                <c:pt idx="29">
                  <c:v>GUAVIARE</c:v>
                </c:pt>
                <c:pt idx="30">
                  <c:v>VAUPES</c:v>
                </c:pt>
                <c:pt idx="31">
                  <c:v>VICHADA</c:v>
                </c:pt>
              </c:strCache>
            </c:strRef>
          </c:cat>
          <c:val>
            <c:numRef>
              <c:f>'Analisis de Escenarios'!$U$9:$U$40</c:f>
              <c:numCache>
                <c:formatCode>_("$"\ * #,##0_);_("$"\ * \(#,##0\);_("$"\ * "-"??_);_(@_)</c:formatCode>
                <c:ptCount val="32"/>
                <c:pt idx="0">
                  <c:v>37557.684025903385</c:v>
                </c:pt>
                <c:pt idx="1">
                  <c:v>37178.408661866924</c:v>
                </c:pt>
                <c:pt idx="2">
                  <c:v>36874.981335802782</c:v>
                </c:pt>
                <c:pt idx="3">
                  <c:v>36504.630669183323</c:v>
                </c:pt>
                <c:pt idx="4">
                  <c:v>35975.448625340578</c:v>
                </c:pt>
                <c:pt idx="5">
                  <c:v>36868.671688071932</c:v>
                </c:pt>
                <c:pt idx="6">
                  <c:v>37476.810995187712</c:v>
                </c:pt>
                <c:pt idx="7">
                  <c:v>37196.283289802333</c:v>
                </c:pt>
                <c:pt idx="8">
                  <c:v>36892.188353787176</c:v>
                </c:pt>
                <c:pt idx="9">
                  <c:v>36883.949804863172</c:v>
                </c:pt>
                <c:pt idx="10">
                  <c:v>37090.488743973212</c:v>
                </c:pt>
                <c:pt idx="11">
                  <c:v>36361.852507336196</c:v>
                </c:pt>
                <c:pt idx="12">
                  <c:v>36769.828966930181</c:v>
                </c:pt>
                <c:pt idx="13">
                  <c:v>36912.151183245631</c:v>
                </c:pt>
                <c:pt idx="14">
                  <c:v>36608.040835607208</c:v>
                </c:pt>
                <c:pt idx="15">
                  <c:v>36849.540793278997</c:v>
                </c:pt>
                <c:pt idx="16">
                  <c:v>37320.477033592251</c:v>
                </c:pt>
                <c:pt idx="17">
                  <c:v>37669.960930090841</c:v>
                </c:pt>
                <c:pt idx="18">
                  <c:v>37305.066313507501</c:v>
                </c:pt>
                <c:pt idx="19">
                  <c:v>37105.285183949323</c:v>
                </c:pt>
                <c:pt idx="20">
                  <c:v>37112.868359437081</c:v>
                </c:pt>
                <c:pt idx="21">
                  <c:v>36168.165741372635</c:v>
                </c:pt>
                <c:pt idx="22">
                  <c:v>37112.963586712562</c:v>
                </c:pt>
                <c:pt idx="23">
                  <c:v>36536.028412950414</c:v>
                </c:pt>
                <c:pt idx="24">
                  <c:v>37696.550190877693</c:v>
                </c:pt>
                <c:pt idx="25">
                  <c:v>36871.183018706026</c:v>
                </c:pt>
                <c:pt idx="26">
                  <c:v>38754.941020444137</c:v>
                </c:pt>
                <c:pt idx="27">
                  <c:v>37380.179948409976</c:v>
                </c:pt>
                <c:pt idx="28">
                  <c:v>41962.716855190505</c:v>
                </c:pt>
                <c:pt idx="29">
                  <c:v>37838.43363908802</c:v>
                </c:pt>
                <c:pt idx="30">
                  <c:v>42075.452260854836</c:v>
                </c:pt>
                <c:pt idx="31">
                  <c:v>39318.94556281712</c:v>
                </c:pt>
              </c:numCache>
            </c:numRef>
          </c:val>
        </c:ser>
        <c:dLbls/>
        <c:axId val="108881792"/>
        <c:axId val="108883328"/>
      </c:radarChart>
      <c:catAx>
        <c:axId val="108881792"/>
        <c:scaling>
          <c:orientation val="minMax"/>
        </c:scaling>
        <c:axPos val="b"/>
        <c:majorGridlines/>
        <c:majorTickMark val="none"/>
        <c:tickLblPos val="nextTo"/>
        <c:spPr>
          <a:ln w="9525">
            <a:noFill/>
          </a:ln>
        </c:spPr>
        <c:txPr>
          <a:bodyPr/>
          <a:lstStyle/>
          <a:p>
            <a:pPr>
              <a:defRPr sz="1400" b="1"/>
            </a:pPr>
            <a:endParaRPr lang="es-CO"/>
          </a:p>
        </c:txPr>
        <c:crossAx val="108883328"/>
        <c:crosses val="autoZero"/>
        <c:auto val="1"/>
        <c:lblAlgn val="ctr"/>
        <c:lblOffset val="100"/>
      </c:catAx>
      <c:valAx>
        <c:axId val="108883328"/>
        <c:scaling>
          <c:orientation val="minMax"/>
        </c:scaling>
        <c:axPos val="l"/>
        <c:majorGridlines/>
        <c:numFmt formatCode="_(&quot;$&quot;\ * #,##0_);_(&quot;$&quot;\ * \(#,##0\);_(&quot;$&quot;\ * &quot;-&quot;??_);_(@_)" sourceLinked="1"/>
        <c:majorTickMark val="none"/>
        <c:tickLblPos val="nextTo"/>
        <c:crossAx val="108881792"/>
        <c:crosses val="autoZero"/>
        <c:crossBetween val="between"/>
      </c:valAx>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67E-2"/>
        </c:manualLayout>
      </c:layout>
    </c:title>
    <c:plotArea>
      <c:layout>
        <c:manualLayout>
          <c:layoutTarget val="inner"/>
          <c:xMode val="edge"/>
          <c:yMode val="edge"/>
          <c:x val="3.2103934202585872E-2"/>
          <c:y val="0.21428799705782409"/>
          <c:w val="0.94230554221151663"/>
          <c:h val="0.7464442136854552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Dept'!$DJ$85:$DJ$91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Dept'!$DK$85:$DK$91</c:f>
              <c:numCache>
                <c:formatCode>_("$"\ * #,##0_);_("$"\ * \(#,##0\);_("$"\ * "-"??_);_(@_)</c:formatCode>
                <c:ptCount val="7"/>
                <c:pt idx="0">
                  <c:v>729000804.79762554</c:v>
                </c:pt>
                <c:pt idx="1">
                  <c:v>500794298.40950006</c:v>
                </c:pt>
                <c:pt idx="2">
                  <c:v>89821931.823121831</c:v>
                </c:pt>
                <c:pt idx="3">
                  <c:v>81473974.50268203</c:v>
                </c:pt>
                <c:pt idx="4">
                  <c:v>13534539.152088098</c:v>
                </c:pt>
                <c:pt idx="5">
                  <c:v>5673780.150665869</c:v>
                </c:pt>
                <c:pt idx="6">
                  <c:v>3819488.9814495477</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74E-2"/>
        </c:manualLayout>
      </c:layout>
    </c:title>
    <c:plotArea>
      <c:layout>
        <c:manualLayout>
          <c:layoutTarget val="inner"/>
          <c:xMode val="edge"/>
          <c:yMode val="edge"/>
          <c:x val="3.2103934202585872E-2"/>
          <c:y val="0.2142879970578242"/>
          <c:w val="0.94230554221151663"/>
          <c:h val="0.74644421368545566"/>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Dept'!$DX$85:$DX$91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Dept'!$DY$85:$DY$91</c:f>
              <c:numCache>
                <c:formatCode>_("$"\ * #,##0_);_("$"\ * \(#,##0\);_("$"\ * "-"??_);_(@_)</c:formatCode>
                <c:ptCount val="7"/>
                <c:pt idx="0">
                  <c:v>527794644.10354471</c:v>
                </c:pt>
                <c:pt idx="1">
                  <c:v>369179150.14087504</c:v>
                </c:pt>
                <c:pt idx="2">
                  <c:v>64516144.613838702</c:v>
                </c:pt>
                <c:pt idx="3">
                  <c:v>44867732.964904234</c:v>
                </c:pt>
                <c:pt idx="4">
                  <c:v>9721415.1098117512</c:v>
                </c:pt>
                <c:pt idx="5">
                  <c:v>4075290.0018707737</c:v>
                </c:pt>
                <c:pt idx="6">
                  <c:v>2743413.5347190313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66" l="0.70000000000000062" r="0.70000000000000062" t="0.75000000000000266"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84E-2"/>
        </c:manualLayout>
      </c:layout>
    </c:title>
    <c:plotArea>
      <c:layout>
        <c:manualLayout>
          <c:layoutTarget val="inner"/>
          <c:xMode val="edge"/>
          <c:yMode val="edge"/>
          <c:x val="3.2103934202585872E-2"/>
          <c:y val="0.21428799705782431"/>
          <c:w val="0.94230554221151663"/>
          <c:h val="0.746444213685456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Dept'!$EL$85:$EL$91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Dept'!$EM$85:$EM$91</c:f>
              <c:numCache>
                <c:formatCode>_("$"\ * #,##0_);_("$"\ * \(#,##0\);_("$"\ * "-"??_);_(@_)</c:formatCode>
                <c:ptCount val="7"/>
                <c:pt idx="0">
                  <c:v>757744542.03963697</c:v>
                </c:pt>
                <c:pt idx="1">
                  <c:v>519596462.44787502</c:v>
                </c:pt>
                <c:pt idx="2">
                  <c:v>91911039.748674467</c:v>
                </c:pt>
                <c:pt idx="3">
                  <c:v>64425999.142772079</c:v>
                </c:pt>
                <c:pt idx="4">
                  <c:v>13849329.899040738</c:v>
                </c:pt>
                <c:pt idx="5">
                  <c:v>5805742.7887433991</c:v>
                </c:pt>
                <c:pt idx="6">
                  <c:v>3908323.907850598</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89" l="0.70000000000000062" r="0.70000000000000062" t="0.750000000000002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91E-2"/>
        </c:manualLayout>
      </c:layout>
    </c:title>
    <c:plotArea>
      <c:layout>
        <c:manualLayout>
          <c:layoutTarget val="inner"/>
          <c:xMode val="edge"/>
          <c:yMode val="edge"/>
          <c:x val="3.2103934202585872E-2"/>
          <c:y val="0.21428799705782442"/>
          <c:w val="0.94230554221151663"/>
          <c:h val="0.74644421368545655"/>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Dept'!$EZ$85:$EZ$91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Dept'!$FA$85:$FA$91</c:f>
              <c:numCache>
                <c:formatCode>_("$"\ * #,##0_);_("$"\ * \(#,##0\);_("$"\ * "-"??_);_(@_)</c:formatCode>
                <c:ptCount val="7"/>
                <c:pt idx="0">
                  <c:v>815232016.52366018</c:v>
                </c:pt>
                <c:pt idx="1">
                  <c:v>557200790.52462506</c:v>
                </c:pt>
                <c:pt idx="2">
                  <c:v>98869541.143528625</c:v>
                </c:pt>
                <c:pt idx="3">
                  <c:v>70918158.550672919</c:v>
                </c:pt>
                <c:pt idx="4">
                  <c:v>14897850.095132422</c:v>
                </c:pt>
                <c:pt idx="5">
                  <c:v>6245290.3056043228</c:v>
                </c:pt>
                <c:pt idx="6">
                  <c:v>4204219.5634615729</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311" l="0.70000000000000062" r="0.70000000000000062" t="0.750000000000003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98E-2"/>
        </c:manualLayout>
      </c:layout>
    </c:title>
    <c:plotArea>
      <c:layout>
        <c:manualLayout>
          <c:layoutTarget val="inner"/>
          <c:xMode val="edge"/>
          <c:yMode val="edge"/>
          <c:x val="3.2103934202585872E-2"/>
          <c:y val="0.21428799705782453"/>
          <c:w val="0.94230554221151663"/>
          <c:h val="0.74644421368545699"/>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Dept'!$FN$85:$FN$91</c:f>
              <c:strCache>
                <c:ptCount val="7"/>
                <c:pt idx="0">
                  <c:v>Otros costos</c:v>
                </c:pt>
                <c:pt idx="1">
                  <c:v>Talento humano</c:v>
                </c:pt>
                <c:pt idx="2">
                  <c:v>Administración</c:v>
                </c:pt>
                <c:pt idx="3">
                  <c:v>Transporte</c:v>
                </c:pt>
                <c:pt idx="4">
                  <c:v>Impuestos </c:v>
                </c:pt>
                <c:pt idx="5">
                  <c:v>GMF</c:v>
                </c:pt>
                <c:pt idx="6">
                  <c:v>Polizas</c:v>
                </c:pt>
              </c:strCache>
            </c:strRef>
          </c:cat>
          <c:val>
            <c:numRef>
              <c:f>'Res de Costos X Dept'!$FO$85:$FO$91</c:f>
              <c:numCache>
                <c:formatCode>_("$"\ * #,##0_);_("$"\ * \(#,##0\);_("$"\ * "-"??_);_(@_)</c:formatCode>
                <c:ptCount val="7"/>
                <c:pt idx="0">
                  <c:v>590072741.46123648</c:v>
                </c:pt>
                <c:pt idx="1">
                  <c:v>409917172.2240209</c:v>
                </c:pt>
                <c:pt idx="2">
                  <c:v>71935595.379523396</c:v>
                </c:pt>
                <c:pt idx="3">
                  <c:v>50164763.388076782</c:v>
                </c:pt>
                <c:pt idx="4">
                  <c:v>10839392.031894604</c:v>
                </c:pt>
                <c:pt idx="5">
                  <c:v>4543954.298315444</c:v>
                </c:pt>
                <c:pt idx="6">
                  <c:v>3058910.0941088311</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333" l="0.70000000000000062" r="0.70000000000000062" t="0.75000000000000333" header="0.30000000000000032" footer="0.30000000000000032"/>
    <c:pageSetup/>
  </c:printSettings>
</c:chartSpace>
</file>

<file path=xl/ctrlProps/ctrlProp1.xml><?xml version="1.0" encoding="utf-8"?>
<formControlPr xmlns="http://schemas.microsoft.com/office/spreadsheetml/2009/9/main" objectType="Drop" dropStyle="combo" dx="16" fmlaLink="$I$7" fmlaRange="$B$151:$B$154" sel="2" val="0"/>
</file>

<file path=xl/ctrlProps/ctrlProp2.xml><?xml version="1.0" encoding="utf-8"?>
<formControlPr xmlns="http://schemas.microsoft.com/office/spreadsheetml/2009/9/main" objectType="Drop" dropStyle="combo" dx="16" fmlaLink="$I$8" fmlaRange="$B$151:$B$154" sel="2" val="0"/>
</file>

<file path=xl/ctrlProps/ctrlProp3.xml><?xml version="1.0" encoding="utf-8"?>
<formControlPr xmlns="http://schemas.microsoft.com/office/spreadsheetml/2009/9/main" objectType="Drop" dropStyle="combo" dx="16" fmlaLink="$I$11" fmlaRange="$B$151:$B$154" sel="2" val="0"/>
</file>

<file path=xl/ctrlProps/ctrlProp4.xml><?xml version="1.0" encoding="utf-8"?>
<formControlPr xmlns="http://schemas.microsoft.com/office/spreadsheetml/2009/9/main" objectType="Drop" dropStyle="combo" dx="16" fmlaLink="$I$11" fmlaRange="$B$36:$B$38" sel="2" val="0"/>
</file>

<file path=xl/ctrlProps/ctrlProp5.xml><?xml version="1.0" encoding="utf-8"?>
<formControlPr xmlns="http://schemas.microsoft.com/office/spreadsheetml/2009/9/main" objectType="Drop" dropStyle="combo" dx="16" fmlaLink="$B$26" fmlaRange="$E$25:$E$30" val="0"/>
</file>

<file path=xl/diagrams/colors1.xml><?xml version="1.0" encoding="utf-8"?>
<dgm:colorsDef xmlns:dgm="http://schemas.openxmlformats.org/drawingml/2006/diagram" xmlns:a="http://schemas.openxmlformats.org/drawingml/2006/main" uniqueId="urn:microsoft.com/office/officeart/2005/8/colors/accent3_1">
  <dgm:title val=""/>
  <dgm:desc val=""/>
  <dgm:catLst>
    <dgm:cat type="accent3" pri="11100"/>
  </dgm:catLst>
  <dgm:styleLbl name="node0">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3">
        <a:shade val="80000"/>
      </a:schemeClr>
    </dgm:linClrLst>
    <dgm:effectClrLst/>
    <dgm:txLinClrLst/>
    <dgm:txFillClrLst/>
    <dgm:txEffectClrLst/>
  </dgm:styleLbl>
  <dgm:styleLbl name="node2">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fg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align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bg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fg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bg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sibTrans1D1">
    <dgm:fillClrLst meth="repeat">
      <a:schemeClr val="accent3"/>
    </dgm:fillClrLst>
    <dgm:linClrLst meth="repeat">
      <a:schemeClr val="accent3"/>
    </dgm:linClrLst>
    <dgm:effectClrLst/>
    <dgm:txLinClrLst/>
    <dgm:txFillClrLst meth="repeat">
      <a:schemeClr val="tx1"/>
    </dgm:txFillClrLst>
    <dgm:txEffectClrLst/>
  </dgm:styleLbl>
  <dgm:styleLbl name="callout">
    <dgm:fillClrLst meth="repeat">
      <a:schemeClr val="accent3"/>
    </dgm:fillClrLst>
    <dgm:linClrLst meth="repeat">
      <a:schemeClr val="accent3"/>
    </dgm:linClrLst>
    <dgm:effectClrLst/>
    <dgm:txLinClrLst/>
    <dgm:txFillClrLst meth="repeat">
      <a:schemeClr val="tx1"/>
    </dgm:txFillClrLst>
    <dgm:txEffectClrLst/>
  </dgm:styleLbl>
  <dgm:styleLbl name="asst0">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parChTrans2D1">
    <dgm:fillClrLst meth="repeat">
      <a:schemeClr val="accent3">
        <a:tint val="60000"/>
      </a:schemeClr>
    </dgm:fillClrLst>
    <dgm:linClrLst meth="repeat">
      <a:schemeClr val="accent3">
        <a:tint val="60000"/>
      </a:schemeClr>
    </dgm:linClrLst>
    <dgm:effectClrLst/>
    <dgm:txLinClrLst/>
    <dgm:txFillClrLst/>
    <dgm:txEffectClrLst/>
  </dgm:styleLbl>
  <dgm:styleLbl name="parChTrans2D2">
    <dgm:fillClrLst meth="repeat">
      <a:schemeClr val="accent3"/>
    </dgm:fillClrLst>
    <dgm:linClrLst meth="repeat">
      <a:schemeClr val="accent3"/>
    </dgm:linClrLst>
    <dgm:effectClrLst/>
    <dgm:txLinClrLst/>
    <dgm:txFillClrLst/>
    <dgm:txEffectClrLst/>
  </dgm:styleLbl>
  <dgm:styleLbl name="parChTrans2D3">
    <dgm:fillClrLst meth="repeat">
      <a:schemeClr val="accent3"/>
    </dgm:fillClrLst>
    <dgm:linClrLst meth="repeat">
      <a:schemeClr val="accent3"/>
    </dgm:linClrLst>
    <dgm:effectClrLst/>
    <dgm:txLinClrLst/>
    <dgm:txFillClrLst/>
    <dgm:txEffectClrLst/>
  </dgm:styleLbl>
  <dgm:styleLbl name="parChTrans2D4">
    <dgm:fillClrLst meth="repeat">
      <a:schemeClr val="accent3"/>
    </dgm:fillClrLst>
    <dgm:linClrLst meth="repeat">
      <a:schemeClr val="accent3"/>
    </dgm:linClrLst>
    <dgm:effectClrLst/>
    <dgm:txLinClrLst/>
    <dgm:txFillClrLst meth="repeat">
      <a:schemeClr val="lt1"/>
    </dgm:txFillClrLst>
    <dgm:txEffectClrLst/>
  </dgm:styleLbl>
  <dgm:styleLbl name="parChTrans1D1">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2">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3">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parChTrans1D4">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f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conF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align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trAlignAcc1">
    <dgm:fillClrLst meth="repeat">
      <a:schemeClr val="accent3">
        <a:alpha val="40000"/>
        <a:tint val="40000"/>
      </a:schemeClr>
    </dgm:fillClrLst>
    <dgm:linClrLst meth="repeat">
      <a:schemeClr val="accent3"/>
    </dgm:linClrLst>
    <dgm:effectClrLst/>
    <dgm:txLinClrLst/>
    <dgm:txFillClrLst meth="repeat">
      <a:schemeClr val="dk1"/>
    </dgm:txFillClrLst>
    <dgm:txEffectClrLst/>
  </dgm:styleLbl>
  <dgm:styleLbl name="b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solidFgAcc1">
    <dgm:fillClrLst meth="repeat">
      <a:schemeClr val="lt1"/>
    </dgm:fillClrLst>
    <dgm:linClrLst meth="repeat">
      <a:schemeClr val="accent3"/>
    </dgm:linClrLst>
    <dgm:effectClrLst/>
    <dgm:txLinClrLst/>
    <dgm:txFillClrLst meth="repeat">
      <a:schemeClr val="dk1"/>
    </dgm:txFillClrLst>
    <dgm:txEffectClrLst/>
  </dgm:styleLbl>
  <dgm:styleLbl name="solidAlignAcc1">
    <dgm:fillClrLst meth="repeat">
      <a:schemeClr val="lt1"/>
    </dgm:fillClrLst>
    <dgm:linClrLst meth="repeat">
      <a:schemeClr val="accent3"/>
    </dgm:linClrLst>
    <dgm:effectClrLst/>
    <dgm:txLinClrLst/>
    <dgm:txFillClrLst meth="repeat">
      <a:schemeClr val="dk1"/>
    </dgm:txFillClrLst>
    <dgm:txEffectClrLst/>
  </dgm:styleLbl>
  <dgm:styleLbl name="solidBgAcc1">
    <dgm:fillClrLst meth="repeat">
      <a:schemeClr val="lt1"/>
    </dgm:fillClrLst>
    <dgm:linClrLst meth="repeat">
      <a:schemeClr val="accent3"/>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fgAcc0">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2">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3">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4">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accent3"/>
    </dgm:linClrLst>
    <dgm:effectClrLst/>
    <dgm:txLinClrLst/>
    <dgm:txFillClrLst meth="repeat">
      <a:schemeClr val="dk1"/>
    </dgm:txFillClrLst>
    <dgm:txEffectClrLst/>
  </dgm:styleLbl>
  <dgm:styleLbl name="dkBgShp">
    <dgm:fillClrLst meth="repeat">
      <a:schemeClr val="accent3">
        <a:shade val="80000"/>
      </a:schemeClr>
    </dgm:fillClrLst>
    <dgm:linClrLst meth="repeat">
      <a:schemeClr val="accent3"/>
    </dgm:linClrLst>
    <dgm:effectClrLst/>
    <dgm:txLinClrLst/>
    <dgm:txFillClrLst meth="repeat">
      <a:schemeClr val="lt1"/>
    </dgm:txFillClrLst>
    <dgm:txEffectClrLst/>
  </dgm:styleLbl>
  <dgm:styleLbl name="trBgShp">
    <dgm:fillClrLst meth="repeat">
      <a:schemeClr val="accent3">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D4CC36B-6F72-4D4E-A3F4-58C8353CF00A}" type="doc">
      <dgm:prSet loTypeId="urn:microsoft.com/office/officeart/2005/8/layout/orgChart1" loCatId="hierarchy" qsTypeId="urn:microsoft.com/office/officeart/2005/8/quickstyle/simple2" qsCatId="simple" csTypeId="urn:microsoft.com/office/officeart/2005/8/colors/accent3_1" csCatId="accent3" phldr="1"/>
      <dgm:spPr/>
      <dgm:t>
        <a:bodyPr/>
        <a:lstStyle/>
        <a:p>
          <a:endParaRPr lang="es-CO"/>
        </a:p>
      </dgm:t>
    </dgm:pt>
    <dgm:pt modelId="{68939711-FFEF-444C-B83C-B908708C0074}">
      <dgm:prSet phldrT="[Texto]" custT="1"/>
      <dgm:spPr/>
      <dgm:t>
        <a:bodyPr/>
        <a:lstStyle/>
        <a:p>
          <a:r>
            <a:rPr lang="es-CO" sz="1200" b="1">
              <a:latin typeface="Arial  "/>
            </a:rPr>
            <a:t>COORDINADOR  GENERAL</a:t>
          </a:r>
        </a:p>
      </dgm:t>
    </dgm:pt>
    <dgm:pt modelId="{1FE5894F-EA3C-4B3D-82DF-2D35A2A8887A}" type="parTrans" cxnId="{6D7CE200-C79D-4F1D-AF4B-B883166B9773}">
      <dgm:prSet/>
      <dgm:spPr/>
      <dgm:t>
        <a:bodyPr/>
        <a:lstStyle/>
        <a:p>
          <a:endParaRPr lang="es-CO" sz="1400" b="1">
            <a:latin typeface="Arial  "/>
          </a:endParaRPr>
        </a:p>
      </dgm:t>
    </dgm:pt>
    <dgm:pt modelId="{29CB02CB-E277-409D-85D6-3E35068FAF67}" type="sibTrans" cxnId="{6D7CE200-C79D-4F1D-AF4B-B883166B9773}">
      <dgm:prSet/>
      <dgm:spPr/>
      <dgm:t>
        <a:bodyPr/>
        <a:lstStyle/>
        <a:p>
          <a:endParaRPr lang="es-CO" sz="1400" b="1">
            <a:latin typeface="Arial  "/>
          </a:endParaRPr>
        </a:p>
      </dgm:t>
    </dgm:pt>
    <dgm:pt modelId="{500E74DC-34B5-4675-8936-EAA12414C5D9}" type="asst">
      <dgm:prSet phldrT="[Texto]" custT="1"/>
      <dgm:spPr/>
      <dgm:t>
        <a:bodyPr/>
        <a:lstStyle/>
        <a:p>
          <a:r>
            <a:rPr lang="es-CO" sz="1200" b="1">
              <a:latin typeface="Arial  "/>
            </a:rPr>
            <a:t>COORDINADOR DE GARANTIAS DE DERECHO</a:t>
          </a:r>
        </a:p>
      </dgm:t>
    </dgm:pt>
    <dgm:pt modelId="{0E69EB79-AACA-4B67-9142-D5F9E2E0333B}" type="parTrans" cxnId="{6FAC2DBC-A90F-4D80-9025-E7C940D2DEDF}">
      <dgm:prSet/>
      <dgm:spPr/>
      <dgm:t>
        <a:bodyPr/>
        <a:lstStyle/>
        <a:p>
          <a:endParaRPr lang="es-CO" sz="1400" b="1">
            <a:latin typeface="Arial  "/>
          </a:endParaRPr>
        </a:p>
      </dgm:t>
    </dgm:pt>
    <dgm:pt modelId="{A639ACA1-009A-4567-915D-3C0DBABA12CE}" type="sibTrans" cxnId="{6FAC2DBC-A90F-4D80-9025-E7C940D2DEDF}">
      <dgm:prSet/>
      <dgm:spPr/>
      <dgm:t>
        <a:bodyPr/>
        <a:lstStyle/>
        <a:p>
          <a:endParaRPr lang="es-CO" sz="1400" b="1">
            <a:latin typeface="Arial  "/>
          </a:endParaRPr>
        </a:p>
      </dgm:t>
    </dgm:pt>
    <dgm:pt modelId="{6E4A69BC-E337-4FD5-9D69-4B7232FAF14E}">
      <dgm:prSet phldrT="[Texto]" custT="1"/>
      <dgm:spPr/>
      <dgm:t>
        <a:bodyPr/>
        <a:lstStyle/>
        <a:p>
          <a:r>
            <a:rPr lang="es-CO" sz="1200" b="1">
              <a:latin typeface="Arial  "/>
            </a:rPr>
            <a:t>COORDINADOR METODOLOGICO</a:t>
          </a:r>
        </a:p>
      </dgm:t>
    </dgm:pt>
    <dgm:pt modelId="{5B4763F4-71B1-402C-A925-DD92849D9F7A}" type="parTrans" cxnId="{975C3F47-9961-486C-86F3-3CC205ECB3C5}">
      <dgm:prSet/>
      <dgm:spPr/>
      <dgm:t>
        <a:bodyPr/>
        <a:lstStyle/>
        <a:p>
          <a:endParaRPr lang="es-CO" sz="1400" b="1">
            <a:latin typeface="Arial  "/>
          </a:endParaRPr>
        </a:p>
      </dgm:t>
    </dgm:pt>
    <dgm:pt modelId="{F3107F7A-2BA0-4B7B-A6EA-B4D0FC2ADCFA}" type="sibTrans" cxnId="{975C3F47-9961-486C-86F3-3CC205ECB3C5}">
      <dgm:prSet/>
      <dgm:spPr/>
      <dgm:t>
        <a:bodyPr/>
        <a:lstStyle/>
        <a:p>
          <a:endParaRPr lang="es-CO" sz="1400" b="1">
            <a:latin typeface="Arial  "/>
          </a:endParaRPr>
        </a:p>
      </dgm:t>
    </dgm:pt>
    <dgm:pt modelId="{8E2BF36E-A33D-4ABA-B78D-78526F7A3CEC}" type="asst">
      <dgm:prSet phldrT="[Texto]" custT="1"/>
      <dgm:spPr/>
      <dgm:t>
        <a:bodyPr/>
        <a:lstStyle/>
        <a:p>
          <a:r>
            <a:rPr lang="es-CO" sz="1200" b="1">
              <a:latin typeface="Arial  "/>
            </a:rPr>
            <a:t>GESTOR ADMINISTRATIVO</a:t>
          </a:r>
        </a:p>
      </dgm:t>
    </dgm:pt>
    <dgm:pt modelId="{BA7E8E95-C29E-42AE-A1E1-606C3879E9BB}" type="parTrans" cxnId="{ACDE3533-F65E-4E74-A753-7E17A22C7EBD}">
      <dgm:prSet/>
      <dgm:spPr/>
      <dgm:t>
        <a:bodyPr/>
        <a:lstStyle/>
        <a:p>
          <a:endParaRPr lang="es-CO" sz="1400" b="1">
            <a:latin typeface="Arial  "/>
          </a:endParaRPr>
        </a:p>
      </dgm:t>
    </dgm:pt>
    <dgm:pt modelId="{4EB9F58A-70FA-4BC1-BC59-7FF1C6DE5F4B}" type="sibTrans" cxnId="{ACDE3533-F65E-4E74-A753-7E17A22C7EBD}">
      <dgm:prSet/>
      <dgm:spPr/>
      <dgm:t>
        <a:bodyPr/>
        <a:lstStyle/>
        <a:p>
          <a:endParaRPr lang="es-CO" sz="1400" b="1">
            <a:latin typeface="Arial  "/>
          </a:endParaRPr>
        </a:p>
      </dgm:t>
    </dgm:pt>
    <dgm:pt modelId="{73FA433C-615C-4B91-8E1E-8D60A58F1CAF}">
      <dgm:prSet phldrT="[Texto]" custT="1"/>
      <dgm:spPr/>
      <dgm:t>
        <a:bodyPr/>
        <a:lstStyle/>
        <a:p>
          <a:r>
            <a:rPr lang="es-CO" sz="1200" b="1">
              <a:latin typeface="Arial  "/>
            </a:rPr>
            <a:t>PROMOTOR DE DERECHOS</a:t>
          </a:r>
        </a:p>
      </dgm:t>
    </dgm:pt>
    <dgm:pt modelId="{7108E767-B101-4317-A92F-E02ABE2227B8}" type="parTrans" cxnId="{D05D1136-032B-474E-8044-49234B617949}">
      <dgm:prSet/>
      <dgm:spPr/>
      <dgm:t>
        <a:bodyPr/>
        <a:lstStyle/>
        <a:p>
          <a:endParaRPr lang="es-CO" sz="1400" b="1">
            <a:latin typeface="Arial  "/>
          </a:endParaRPr>
        </a:p>
      </dgm:t>
    </dgm:pt>
    <dgm:pt modelId="{864BAA6E-2A76-4134-9337-4B3F7F8063A9}" type="sibTrans" cxnId="{D05D1136-032B-474E-8044-49234B617949}">
      <dgm:prSet/>
      <dgm:spPr/>
      <dgm:t>
        <a:bodyPr/>
        <a:lstStyle/>
        <a:p>
          <a:endParaRPr lang="es-CO" sz="1400" b="1">
            <a:latin typeface="Arial  "/>
          </a:endParaRPr>
        </a:p>
      </dgm:t>
    </dgm:pt>
    <dgm:pt modelId="{70188702-2146-4578-A929-14AD60A0C716}" type="pres">
      <dgm:prSet presAssocID="{BD4CC36B-6F72-4D4E-A3F4-58C8353CF00A}" presName="hierChild1" presStyleCnt="0">
        <dgm:presLayoutVars>
          <dgm:orgChart val="1"/>
          <dgm:chPref val="1"/>
          <dgm:dir/>
          <dgm:animOne val="branch"/>
          <dgm:animLvl val="lvl"/>
          <dgm:resizeHandles/>
        </dgm:presLayoutVars>
      </dgm:prSet>
      <dgm:spPr/>
      <dgm:t>
        <a:bodyPr/>
        <a:lstStyle/>
        <a:p>
          <a:endParaRPr lang="es-CO"/>
        </a:p>
      </dgm:t>
    </dgm:pt>
    <dgm:pt modelId="{E76098E3-3CAA-4039-8965-D3953557C2CA}" type="pres">
      <dgm:prSet presAssocID="{68939711-FFEF-444C-B83C-B908708C0074}" presName="hierRoot1" presStyleCnt="0">
        <dgm:presLayoutVars>
          <dgm:hierBranch val="init"/>
        </dgm:presLayoutVars>
      </dgm:prSet>
      <dgm:spPr/>
    </dgm:pt>
    <dgm:pt modelId="{0E533534-B6CA-4B15-9FDE-9B240EDBB904}" type="pres">
      <dgm:prSet presAssocID="{68939711-FFEF-444C-B83C-B908708C0074}" presName="rootComposite1" presStyleCnt="0"/>
      <dgm:spPr/>
    </dgm:pt>
    <dgm:pt modelId="{C36C1DC4-D155-4A9E-A707-8DB619419791}" type="pres">
      <dgm:prSet presAssocID="{68939711-FFEF-444C-B83C-B908708C0074}" presName="rootText1" presStyleLbl="node0" presStyleIdx="0" presStyleCnt="1" custScaleX="253995" custLinFactNeighborX="24669" custLinFactNeighborY="1827">
        <dgm:presLayoutVars>
          <dgm:chPref val="3"/>
        </dgm:presLayoutVars>
      </dgm:prSet>
      <dgm:spPr/>
      <dgm:t>
        <a:bodyPr/>
        <a:lstStyle/>
        <a:p>
          <a:endParaRPr lang="es-CO"/>
        </a:p>
      </dgm:t>
    </dgm:pt>
    <dgm:pt modelId="{8B0346A9-E2FE-4D9B-8EA5-2D3DCBA7B242}" type="pres">
      <dgm:prSet presAssocID="{68939711-FFEF-444C-B83C-B908708C0074}" presName="rootConnector1" presStyleLbl="node1" presStyleIdx="0" presStyleCnt="0"/>
      <dgm:spPr/>
      <dgm:t>
        <a:bodyPr/>
        <a:lstStyle/>
        <a:p>
          <a:endParaRPr lang="es-CO"/>
        </a:p>
      </dgm:t>
    </dgm:pt>
    <dgm:pt modelId="{57E89A3B-FB24-4C18-8C16-613BA4DB721A}" type="pres">
      <dgm:prSet presAssocID="{68939711-FFEF-444C-B83C-B908708C0074}" presName="hierChild2" presStyleCnt="0"/>
      <dgm:spPr/>
    </dgm:pt>
    <dgm:pt modelId="{B9636846-CCCC-4752-8587-91C259A7F4BC}" type="pres">
      <dgm:prSet presAssocID="{5B4763F4-71B1-402C-A925-DD92849D9F7A}" presName="Name37" presStyleLbl="parChTrans1D2" presStyleIdx="0" presStyleCnt="3"/>
      <dgm:spPr/>
      <dgm:t>
        <a:bodyPr/>
        <a:lstStyle/>
        <a:p>
          <a:endParaRPr lang="es-CO"/>
        </a:p>
      </dgm:t>
    </dgm:pt>
    <dgm:pt modelId="{8754953D-9765-4634-AC0E-F15A8A147E56}" type="pres">
      <dgm:prSet presAssocID="{6E4A69BC-E337-4FD5-9D69-4B7232FAF14E}" presName="hierRoot2" presStyleCnt="0">
        <dgm:presLayoutVars>
          <dgm:hierBranch val="init"/>
        </dgm:presLayoutVars>
      </dgm:prSet>
      <dgm:spPr/>
    </dgm:pt>
    <dgm:pt modelId="{68A75784-D723-4961-8E96-939A4E73095E}" type="pres">
      <dgm:prSet presAssocID="{6E4A69BC-E337-4FD5-9D69-4B7232FAF14E}" presName="rootComposite" presStyleCnt="0"/>
      <dgm:spPr/>
    </dgm:pt>
    <dgm:pt modelId="{553B4D0B-78FF-49B8-BF53-668B91DF7A9E}" type="pres">
      <dgm:prSet presAssocID="{6E4A69BC-E337-4FD5-9D69-4B7232FAF14E}" presName="rootText" presStyleLbl="node2" presStyleIdx="0" presStyleCnt="1" custScaleX="253995" custLinFactNeighborX="24669" custLinFactNeighborY="1827">
        <dgm:presLayoutVars>
          <dgm:chPref val="3"/>
        </dgm:presLayoutVars>
      </dgm:prSet>
      <dgm:spPr/>
      <dgm:t>
        <a:bodyPr/>
        <a:lstStyle/>
        <a:p>
          <a:endParaRPr lang="es-CO"/>
        </a:p>
      </dgm:t>
    </dgm:pt>
    <dgm:pt modelId="{7FE5D4B2-6E7C-4ADB-A2AA-6D5033F2C368}" type="pres">
      <dgm:prSet presAssocID="{6E4A69BC-E337-4FD5-9D69-4B7232FAF14E}" presName="rootConnector" presStyleLbl="node2" presStyleIdx="0" presStyleCnt="1"/>
      <dgm:spPr/>
      <dgm:t>
        <a:bodyPr/>
        <a:lstStyle/>
        <a:p>
          <a:endParaRPr lang="es-CO"/>
        </a:p>
      </dgm:t>
    </dgm:pt>
    <dgm:pt modelId="{7B162883-9E7F-457F-B062-99F284783841}" type="pres">
      <dgm:prSet presAssocID="{6E4A69BC-E337-4FD5-9D69-4B7232FAF14E}" presName="hierChild4" presStyleCnt="0"/>
      <dgm:spPr/>
    </dgm:pt>
    <dgm:pt modelId="{1CAF15AB-E19C-4EC1-8086-3110A1102BF3}" type="pres">
      <dgm:prSet presAssocID="{7108E767-B101-4317-A92F-E02ABE2227B8}" presName="Name37" presStyleLbl="parChTrans1D3" presStyleIdx="0" presStyleCnt="1"/>
      <dgm:spPr/>
      <dgm:t>
        <a:bodyPr/>
        <a:lstStyle/>
        <a:p>
          <a:endParaRPr lang="es-CO"/>
        </a:p>
      </dgm:t>
    </dgm:pt>
    <dgm:pt modelId="{7A1347BC-C924-4B4C-BF71-BC00552649F9}" type="pres">
      <dgm:prSet presAssocID="{73FA433C-615C-4B91-8E1E-8D60A58F1CAF}" presName="hierRoot2" presStyleCnt="0">
        <dgm:presLayoutVars>
          <dgm:hierBranch val="init"/>
        </dgm:presLayoutVars>
      </dgm:prSet>
      <dgm:spPr/>
    </dgm:pt>
    <dgm:pt modelId="{7C3F6894-4F6D-4C2A-B8CA-6D57B733C6D4}" type="pres">
      <dgm:prSet presAssocID="{73FA433C-615C-4B91-8E1E-8D60A58F1CAF}" presName="rootComposite" presStyleCnt="0"/>
      <dgm:spPr/>
    </dgm:pt>
    <dgm:pt modelId="{2E850680-5152-4ED2-A1CA-3292BA82A259}" type="pres">
      <dgm:prSet presAssocID="{73FA433C-615C-4B91-8E1E-8D60A58F1CAF}" presName="rootText" presStyleLbl="node3" presStyleIdx="0" presStyleCnt="1" custScaleX="242530" custLinFactNeighborX="23755" custLinFactNeighborY="-1827">
        <dgm:presLayoutVars>
          <dgm:chPref val="3"/>
        </dgm:presLayoutVars>
      </dgm:prSet>
      <dgm:spPr/>
      <dgm:t>
        <a:bodyPr/>
        <a:lstStyle/>
        <a:p>
          <a:endParaRPr lang="es-CO"/>
        </a:p>
      </dgm:t>
    </dgm:pt>
    <dgm:pt modelId="{4EBDA474-FD1F-4A94-BB4C-C75E0DFD53B2}" type="pres">
      <dgm:prSet presAssocID="{73FA433C-615C-4B91-8E1E-8D60A58F1CAF}" presName="rootConnector" presStyleLbl="node3" presStyleIdx="0" presStyleCnt="1"/>
      <dgm:spPr/>
      <dgm:t>
        <a:bodyPr/>
        <a:lstStyle/>
        <a:p>
          <a:endParaRPr lang="es-CO"/>
        </a:p>
      </dgm:t>
    </dgm:pt>
    <dgm:pt modelId="{E84B9BBD-5584-41A2-8CCC-C995F8D36698}" type="pres">
      <dgm:prSet presAssocID="{73FA433C-615C-4B91-8E1E-8D60A58F1CAF}" presName="hierChild4" presStyleCnt="0"/>
      <dgm:spPr/>
    </dgm:pt>
    <dgm:pt modelId="{B1665661-0AFF-45D8-ACB5-0BAE9C51FA1E}" type="pres">
      <dgm:prSet presAssocID="{73FA433C-615C-4B91-8E1E-8D60A58F1CAF}" presName="hierChild5" presStyleCnt="0"/>
      <dgm:spPr/>
    </dgm:pt>
    <dgm:pt modelId="{8E36CB48-A1A3-4812-92FA-071E583DF640}" type="pres">
      <dgm:prSet presAssocID="{6E4A69BC-E337-4FD5-9D69-4B7232FAF14E}" presName="hierChild5" presStyleCnt="0"/>
      <dgm:spPr/>
    </dgm:pt>
    <dgm:pt modelId="{DB3E56CF-5AA2-483B-AEBB-9330E499DD17}" type="pres">
      <dgm:prSet presAssocID="{68939711-FFEF-444C-B83C-B908708C0074}" presName="hierChild3" presStyleCnt="0"/>
      <dgm:spPr/>
    </dgm:pt>
    <dgm:pt modelId="{0EBC1BB1-F90E-4C53-9CD5-01D19D7029BF}" type="pres">
      <dgm:prSet presAssocID="{0E69EB79-AACA-4B67-9142-D5F9E2E0333B}" presName="Name111" presStyleLbl="parChTrans1D2" presStyleIdx="1" presStyleCnt="3"/>
      <dgm:spPr/>
      <dgm:t>
        <a:bodyPr/>
        <a:lstStyle/>
        <a:p>
          <a:endParaRPr lang="es-CO"/>
        </a:p>
      </dgm:t>
    </dgm:pt>
    <dgm:pt modelId="{246F646B-6424-4EBA-A153-A1E9C3D3ACA4}" type="pres">
      <dgm:prSet presAssocID="{500E74DC-34B5-4675-8936-EAA12414C5D9}" presName="hierRoot3" presStyleCnt="0">
        <dgm:presLayoutVars>
          <dgm:hierBranch val="init"/>
        </dgm:presLayoutVars>
      </dgm:prSet>
      <dgm:spPr/>
    </dgm:pt>
    <dgm:pt modelId="{91394F21-D2F5-46AE-BF98-64C786FD7EA7}" type="pres">
      <dgm:prSet presAssocID="{500E74DC-34B5-4675-8936-EAA12414C5D9}" presName="rootComposite3" presStyleCnt="0"/>
      <dgm:spPr/>
    </dgm:pt>
    <dgm:pt modelId="{4046F638-E507-43D0-B020-703CFCF199BE}" type="pres">
      <dgm:prSet presAssocID="{500E74DC-34B5-4675-8936-EAA12414C5D9}" presName="rootText3" presStyleLbl="asst1" presStyleIdx="0" presStyleCnt="2" custScaleX="253995" custLinFactNeighborX="24669" custLinFactNeighborY="1827">
        <dgm:presLayoutVars>
          <dgm:chPref val="3"/>
        </dgm:presLayoutVars>
      </dgm:prSet>
      <dgm:spPr/>
      <dgm:t>
        <a:bodyPr/>
        <a:lstStyle/>
        <a:p>
          <a:endParaRPr lang="es-CO"/>
        </a:p>
      </dgm:t>
    </dgm:pt>
    <dgm:pt modelId="{1399746F-B077-4738-8DAE-2F45E11E084A}" type="pres">
      <dgm:prSet presAssocID="{500E74DC-34B5-4675-8936-EAA12414C5D9}" presName="rootConnector3" presStyleLbl="asst1" presStyleIdx="0" presStyleCnt="2"/>
      <dgm:spPr/>
      <dgm:t>
        <a:bodyPr/>
        <a:lstStyle/>
        <a:p>
          <a:endParaRPr lang="es-CO"/>
        </a:p>
      </dgm:t>
    </dgm:pt>
    <dgm:pt modelId="{C4A95AEC-6F6E-4D91-8B06-7DB1A2738EB5}" type="pres">
      <dgm:prSet presAssocID="{500E74DC-34B5-4675-8936-EAA12414C5D9}" presName="hierChild6" presStyleCnt="0"/>
      <dgm:spPr/>
    </dgm:pt>
    <dgm:pt modelId="{5672C176-1677-4CE0-B86B-F630ABFEE3DF}" type="pres">
      <dgm:prSet presAssocID="{500E74DC-34B5-4675-8936-EAA12414C5D9}" presName="hierChild7" presStyleCnt="0"/>
      <dgm:spPr/>
    </dgm:pt>
    <dgm:pt modelId="{86CC18BD-0522-46EE-A141-D13FB4B1A51A}" type="pres">
      <dgm:prSet presAssocID="{BA7E8E95-C29E-42AE-A1E1-606C3879E9BB}" presName="Name111" presStyleLbl="parChTrans1D2" presStyleIdx="2" presStyleCnt="3"/>
      <dgm:spPr/>
      <dgm:t>
        <a:bodyPr/>
        <a:lstStyle/>
        <a:p>
          <a:endParaRPr lang="es-CO"/>
        </a:p>
      </dgm:t>
    </dgm:pt>
    <dgm:pt modelId="{70958047-C8C2-4E69-927A-7545BAF2C17E}" type="pres">
      <dgm:prSet presAssocID="{8E2BF36E-A33D-4ABA-B78D-78526F7A3CEC}" presName="hierRoot3" presStyleCnt="0">
        <dgm:presLayoutVars>
          <dgm:hierBranch val="init"/>
        </dgm:presLayoutVars>
      </dgm:prSet>
      <dgm:spPr/>
    </dgm:pt>
    <dgm:pt modelId="{73D88748-3EE3-4E3C-9341-AC7BAF9D4C2D}" type="pres">
      <dgm:prSet presAssocID="{8E2BF36E-A33D-4ABA-B78D-78526F7A3CEC}" presName="rootComposite3" presStyleCnt="0"/>
      <dgm:spPr/>
    </dgm:pt>
    <dgm:pt modelId="{1DE29B64-2818-44A6-BC97-F0E829C2414B}" type="pres">
      <dgm:prSet presAssocID="{8E2BF36E-A33D-4ABA-B78D-78526F7A3CEC}" presName="rootText3" presStyleLbl="asst1" presStyleIdx="1" presStyleCnt="2" custScaleX="253995" custLinFactNeighborX="24669" custLinFactNeighborY="1827">
        <dgm:presLayoutVars>
          <dgm:chPref val="3"/>
        </dgm:presLayoutVars>
      </dgm:prSet>
      <dgm:spPr/>
      <dgm:t>
        <a:bodyPr/>
        <a:lstStyle/>
        <a:p>
          <a:endParaRPr lang="es-CO"/>
        </a:p>
      </dgm:t>
    </dgm:pt>
    <dgm:pt modelId="{FEB7DAC5-63EC-4890-ABFD-279B5E60EBB7}" type="pres">
      <dgm:prSet presAssocID="{8E2BF36E-A33D-4ABA-B78D-78526F7A3CEC}" presName="rootConnector3" presStyleLbl="asst1" presStyleIdx="1" presStyleCnt="2"/>
      <dgm:spPr/>
      <dgm:t>
        <a:bodyPr/>
        <a:lstStyle/>
        <a:p>
          <a:endParaRPr lang="es-CO"/>
        </a:p>
      </dgm:t>
    </dgm:pt>
    <dgm:pt modelId="{2400B66E-1408-4050-8660-0EF8243D04E9}" type="pres">
      <dgm:prSet presAssocID="{8E2BF36E-A33D-4ABA-B78D-78526F7A3CEC}" presName="hierChild6" presStyleCnt="0"/>
      <dgm:spPr/>
    </dgm:pt>
    <dgm:pt modelId="{0FEB8F1D-E944-478E-93A8-48CDADB61D21}" type="pres">
      <dgm:prSet presAssocID="{8E2BF36E-A33D-4ABA-B78D-78526F7A3CEC}" presName="hierChild7" presStyleCnt="0"/>
      <dgm:spPr/>
    </dgm:pt>
  </dgm:ptLst>
  <dgm:cxnLst>
    <dgm:cxn modelId="{63AAE3A7-4570-4CB5-A0CD-DC1048326417}" type="presOf" srcId="{6E4A69BC-E337-4FD5-9D69-4B7232FAF14E}" destId="{553B4D0B-78FF-49B8-BF53-668B91DF7A9E}" srcOrd="0" destOrd="0" presId="urn:microsoft.com/office/officeart/2005/8/layout/orgChart1"/>
    <dgm:cxn modelId="{72638197-CF3A-45DE-BD59-77B7D8C62583}" type="presOf" srcId="{73FA433C-615C-4B91-8E1E-8D60A58F1CAF}" destId="{2E850680-5152-4ED2-A1CA-3292BA82A259}" srcOrd="0" destOrd="0" presId="urn:microsoft.com/office/officeart/2005/8/layout/orgChart1"/>
    <dgm:cxn modelId="{53DB5214-FEB4-422A-8C8F-3AA45A6108AA}" type="presOf" srcId="{BD4CC36B-6F72-4D4E-A3F4-58C8353CF00A}" destId="{70188702-2146-4578-A929-14AD60A0C716}" srcOrd="0" destOrd="0" presId="urn:microsoft.com/office/officeart/2005/8/layout/orgChart1"/>
    <dgm:cxn modelId="{802CCB7E-7A9F-4D6D-83D5-F44436847ABE}" type="presOf" srcId="{7108E767-B101-4317-A92F-E02ABE2227B8}" destId="{1CAF15AB-E19C-4EC1-8086-3110A1102BF3}" srcOrd="0" destOrd="0" presId="urn:microsoft.com/office/officeart/2005/8/layout/orgChart1"/>
    <dgm:cxn modelId="{A8311378-231C-4BC2-8A13-7BDCC0210E79}" type="presOf" srcId="{500E74DC-34B5-4675-8936-EAA12414C5D9}" destId="{1399746F-B077-4738-8DAE-2F45E11E084A}" srcOrd="1" destOrd="0" presId="urn:microsoft.com/office/officeart/2005/8/layout/orgChart1"/>
    <dgm:cxn modelId="{6FAC2DBC-A90F-4D80-9025-E7C940D2DEDF}" srcId="{68939711-FFEF-444C-B83C-B908708C0074}" destId="{500E74DC-34B5-4675-8936-EAA12414C5D9}" srcOrd="0" destOrd="0" parTransId="{0E69EB79-AACA-4B67-9142-D5F9E2E0333B}" sibTransId="{A639ACA1-009A-4567-915D-3C0DBABA12CE}"/>
    <dgm:cxn modelId="{6B718E2D-F40F-4316-AC6B-5DF456736C54}" type="presOf" srcId="{5B4763F4-71B1-402C-A925-DD92849D9F7A}" destId="{B9636846-CCCC-4752-8587-91C259A7F4BC}" srcOrd="0" destOrd="0" presId="urn:microsoft.com/office/officeart/2005/8/layout/orgChart1"/>
    <dgm:cxn modelId="{55740113-80DF-4264-94F0-1AC60B5B7516}" type="presOf" srcId="{8E2BF36E-A33D-4ABA-B78D-78526F7A3CEC}" destId="{FEB7DAC5-63EC-4890-ABFD-279B5E60EBB7}" srcOrd="1" destOrd="0" presId="urn:microsoft.com/office/officeart/2005/8/layout/orgChart1"/>
    <dgm:cxn modelId="{9C2BDA5E-DEDB-43DF-B4D6-ABADCE9599BF}" type="presOf" srcId="{68939711-FFEF-444C-B83C-B908708C0074}" destId="{8B0346A9-E2FE-4D9B-8EA5-2D3DCBA7B242}" srcOrd="1" destOrd="0" presId="urn:microsoft.com/office/officeart/2005/8/layout/orgChart1"/>
    <dgm:cxn modelId="{D05D1136-032B-474E-8044-49234B617949}" srcId="{6E4A69BC-E337-4FD5-9D69-4B7232FAF14E}" destId="{73FA433C-615C-4B91-8E1E-8D60A58F1CAF}" srcOrd="0" destOrd="0" parTransId="{7108E767-B101-4317-A92F-E02ABE2227B8}" sibTransId="{864BAA6E-2A76-4134-9337-4B3F7F8063A9}"/>
    <dgm:cxn modelId="{405930B2-2D22-43CF-A49B-A66DB236B332}" type="presOf" srcId="{68939711-FFEF-444C-B83C-B908708C0074}" destId="{C36C1DC4-D155-4A9E-A707-8DB619419791}" srcOrd="0" destOrd="0" presId="urn:microsoft.com/office/officeart/2005/8/layout/orgChart1"/>
    <dgm:cxn modelId="{80DBC0E8-6667-499F-AA40-483EAB246D91}" type="presOf" srcId="{73FA433C-615C-4B91-8E1E-8D60A58F1CAF}" destId="{4EBDA474-FD1F-4A94-BB4C-C75E0DFD53B2}" srcOrd="1" destOrd="0" presId="urn:microsoft.com/office/officeart/2005/8/layout/orgChart1"/>
    <dgm:cxn modelId="{98570EEA-D5BE-4751-B863-E31B43BC47BD}" type="presOf" srcId="{0E69EB79-AACA-4B67-9142-D5F9E2E0333B}" destId="{0EBC1BB1-F90E-4C53-9CD5-01D19D7029BF}" srcOrd="0" destOrd="0" presId="urn:microsoft.com/office/officeart/2005/8/layout/orgChart1"/>
    <dgm:cxn modelId="{427266B8-EAB7-4379-8B18-828070BEDA03}" type="presOf" srcId="{500E74DC-34B5-4675-8936-EAA12414C5D9}" destId="{4046F638-E507-43D0-B020-703CFCF199BE}" srcOrd="0" destOrd="0" presId="urn:microsoft.com/office/officeart/2005/8/layout/orgChart1"/>
    <dgm:cxn modelId="{773271AD-ECFB-4A30-87CF-C6957DC255D6}" type="presOf" srcId="{BA7E8E95-C29E-42AE-A1E1-606C3879E9BB}" destId="{86CC18BD-0522-46EE-A141-D13FB4B1A51A}" srcOrd="0" destOrd="0" presId="urn:microsoft.com/office/officeart/2005/8/layout/orgChart1"/>
    <dgm:cxn modelId="{975C3F47-9961-486C-86F3-3CC205ECB3C5}" srcId="{68939711-FFEF-444C-B83C-B908708C0074}" destId="{6E4A69BC-E337-4FD5-9D69-4B7232FAF14E}" srcOrd="2" destOrd="0" parTransId="{5B4763F4-71B1-402C-A925-DD92849D9F7A}" sibTransId="{F3107F7A-2BA0-4B7B-A6EA-B4D0FC2ADCFA}"/>
    <dgm:cxn modelId="{82A391D0-42CB-4124-A7AF-E68AD1A95ED5}" type="presOf" srcId="{6E4A69BC-E337-4FD5-9D69-4B7232FAF14E}" destId="{7FE5D4B2-6E7C-4ADB-A2AA-6D5033F2C368}" srcOrd="1" destOrd="0" presId="urn:microsoft.com/office/officeart/2005/8/layout/orgChart1"/>
    <dgm:cxn modelId="{6D7CE200-C79D-4F1D-AF4B-B883166B9773}" srcId="{BD4CC36B-6F72-4D4E-A3F4-58C8353CF00A}" destId="{68939711-FFEF-444C-B83C-B908708C0074}" srcOrd="0" destOrd="0" parTransId="{1FE5894F-EA3C-4B3D-82DF-2D35A2A8887A}" sibTransId="{29CB02CB-E277-409D-85D6-3E35068FAF67}"/>
    <dgm:cxn modelId="{ACDE3533-F65E-4E74-A753-7E17A22C7EBD}" srcId="{68939711-FFEF-444C-B83C-B908708C0074}" destId="{8E2BF36E-A33D-4ABA-B78D-78526F7A3CEC}" srcOrd="1" destOrd="0" parTransId="{BA7E8E95-C29E-42AE-A1E1-606C3879E9BB}" sibTransId="{4EB9F58A-70FA-4BC1-BC59-7FF1C6DE5F4B}"/>
    <dgm:cxn modelId="{7C7B3596-D1E5-4AA1-9139-5C178C56EEE0}" type="presOf" srcId="{8E2BF36E-A33D-4ABA-B78D-78526F7A3CEC}" destId="{1DE29B64-2818-44A6-BC97-F0E829C2414B}" srcOrd="0" destOrd="0" presId="urn:microsoft.com/office/officeart/2005/8/layout/orgChart1"/>
    <dgm:cxn modelId="{4FC40B62-591A-4086-B03B-939A75AD1B32}" type="presParOf" srcId="{70188702-2146-4578-A929-14AD60A0C716}" destId="{E76098E3-3CAA-4039-8965-D3953557C2CA}" srcOrd="0" destOrd="0" presId="urn:microsoft.com/office/officeart/2005/8/layout/orgChart1"/>
    <dgm:cxn modelId="{23C29890-A48A-446C-B3C6-8CF05E3DACA8}" type="presParOf" srcId="{E76098E3-3CAA-4039-8965-D3953557C2CA}" destId="{0E533534-B6CA-4B15-9FDE-9B240EDBB904}" srcOrd="0" destOrd="0" presId="urn:microsoft.com/office/officeart/2005/8/layout/orgChart1"/>
    <dgm:cxn modelId="{C2195FED-F86A-4AF7-B4CF-AC348E9C9A5E}" type="presParOf" srcId="{0E533534-B6CA-4B15-9FDE-9B240EDBB904}" destId="{C36C1DC4-D155-4A9E-A707-8DB619419791}" srcOrd="0" destOrd="0" presId="urn:microsoft.com/office/officeart/2005/8/layout/orgChart1"/>
    <dgm:cxn modelId="{1A54B528-EDD6-46EC-9472-801C8E5E860B}" type="presParOf" srcId="{0E533534-B6CA-4B15-9FDE-9B240EDBB904}" destId="{8B0346A9-E2FE-4D9B-8EA5-2D3DCBA7B242}" srcOrd="1" destOrd="0" presId="urn:microsoft.com/office/officeart/2005/8/layout/orgChart1"/>
    <dgm:cxn modelId="{FEC36914-0F0D-491E-943E-3FFDC76BCE40}" type="presParOf" srcId="{E76098E3-3CAA-4039-8965-D3953557C2CA}" destId="{57E89A3B-FB24-4C18-8C16-613BA4DB721A}" srcOrd="1" destOrd="0" presId="urn:microsoft.com/office/officeart/2005/8/layout/orgChart1"/>
    <dgm:cxn modelId="{A439BA14-6E40-4022-998A-08B539032D5A}" type="presParOf" srcId="{57E89A3B-FB24-4C18-8C16-613BA4DB721A}" destId="{B9636846-CCCC-4752-8587-91C259A7F4BC}" srcOrd="0" destOrd="0" presId="urn:microsoft.com/office/officeart/2005/8/layout/orgChart1"/>
    <dgm:cxn modelId="{DF6D751F-FC54-4D17-8636-C945A31A3F0E}" type="presParOf" srcId="{57E89A3B-FB24-4C18-8C16-613BA4DB721A}" destId="{8754953D-9765-4634-AC0E-F15A8A147E56}" srcOrd="1" destOrd="0" presId="urn:microsoft.com/office/officeart/2005/8/layout/orgChart1"/>
    <dgm:cxn modelId="{F59DE0CA-07B0-4160-805A-06A6BD06665D}" type="presParOf" srcId="{8754953D-9765-4634-AC0E-F15A8A147E56}" destId="{68A75784-D723-4961-8E96-939A4E73095E}" srcOrd="0" destOrd="0" presId="urn:microsoft.com/office/officeart/2005/8/layout/orgChart1"/>
    <dgm:cxn modelId="{E5D3AC1D-946C-4D91-BFB5-C262A5F5D2F1}" type="presParOf" srcId="{68A75784-D723-4961-8E96-939A4E73095E}" destId="{553B4D0B-78FF-49B8-BF53-668B91DF7A9E}" srcOrd="0" destOrd="0" presId="urn:microsoft.com/office/officeart/2005/8/layout/orgChart1"/>
    <dgm:cxn modelId="{7FAAAEE1-4999-4A7C-9205-F12D793B1831}" type="presParOf" srcId="{68A75784-D723-4961-8E96-939A4E73095E}" destId="{7FE5D4B2-6E7C-4ADB-A2AA-6D5033F2C368}" srcOrd="1" destOrd="0" presId="urn:microsoft.com/office/officeart/2005/8/layout/orgChart1"/>
    <dgm:cxn modelId="{935FC01B-A41F-4A85-AD75-5C46C4E7705E}" type="presParOf" srcId="{8754953D-9765-4634-AC0E-F15A8A147E56}" destId="{7B162883-9E7F-457F-B062-99F284783841}" srcOrd="1" destOrd="0" presId="urn:microsoft.com/office/officeart/2005/8/layout/orgChart1"/>
    <dgm:cxn modelId="{85E0DC56-E350-4826-9597-8864FE6A76C3}" type="presParOf" srcId="{7B162883-9E7F-457F-B062-99F284783841}" destId="{1CAF15AB-E19C-4EC1-8086-3110A1102BF3}" srcOrd="0" destOrd="0" presId="urn:microsoft.com/office/officeart/2005/8/layout/orgChart1"/>
    <dgm:cxn modelId="{9BE2879F-628F-4CCF-BE08-732794AB49F3}" type="presParOf" srcId="{7B162883-9E7F-457F-B062-99F284783841}" destId="{7A1347BC-C924-4B4C-BF71-BC00552649F9}" srcOrd="1" destOrd="0" presId="urn:microsoft.com/office/officeart/2005/8/layout/orgChart1"/>
    <dgm:cxn modelId="{0FACEA2C-BF85-4D89-A609-CB3D6231CFC5}" type="presParOf" srcId="{7A1347BC-C924-4B4C-BF71-BC00552649F9}" destId="{7C3F6894-4F6D-4C2A-B8CA-6D57B733C6D4}" srcOrd="0" destOrd="0" presId="urn:microsoft.com/office/officeart/2005/8/layout/orgChart1"/>
    <dgm:cxn modelId="{AFEB3BC1-C926-4C54-8B2A-319915092A25}" type="presParOf" srcId="{7C3F6894-4F6D-4C2A-B8CA-6D57B733C6D4}" destId="{2E850680-5152-4ED2-A1CA-3292BA82A259}" srcOrd="0" destOrd="0" presId="urn:microsoft.com/office/officeart/2005/8/layout/orgChart1"/>
    <dgm:cxn modelId="{4CDF355C-4EA1-4170-92E6-B2B4C5FE0284}" type="presParOf" srcId="{7C3F6894-4F6D-4C2A-B8CA-6D57B733C6D4}" destId="{4EBDA474-FD1F-4A94-BB4C-C75E0DFD53B2}" srcOrd="1" destOrd="0" presId="urn:microsoft.com/office/officeart/2005/8/layout/orgChart1"/>
    <dgm:cxn modelId="{973F77D7-5FAC-4B0A-8130-CD3428A6482A}" type="presParOf" srcId="{7A1347BC-C924-4B4C-BF71-BC00552649F9}" destId="{E84B9BBD-5584-41A2-8CCC-C995F8D36698}" srcOrd="1" destOrd="0" presId="urn:microsoft.com/office/officeart/2005/8/layout/orgChart1"/>
    <dgm:cxn modelId="{DACA7542-DF00-4773-984B-C39244B28D13}" type="presParOf" srcId="{7A1347BC-C924-4B4C-BF71-BC00552649F9}" destId="{B1665661-0AFF-45D8-ACB5-0BAE9C51FA1E}" srcOrd="2" destOrd="0" presId="urn:microsoft.com/office/officeart/2005/8/layout/orgChart1"/>
    <dgm:cxn modelId="{D5984A20-25E4-4E4D-BA44-396783E97719}" type="presParOf" srcId="{8754953D-9765-4634-AC0E-F15A8A147E56}" destId="{8E36CB48-A1A3-4812-92FA-071E583DF640}" srcOrd="2" destOrd="0" presId="urn:microsoft.com/office/officeart/2005/8/layout/orgChart1"/>
    <dgm:cxn modelId="{B5D6820A-EC27-4372-8063-2D5A73C61613}" type="presParOf" srcId="{E76098E3-3CAA-4039-8965-D3953557C2CA}" destId="{DB3E56CF-5AA2-483B-AEBB-9330E499DD17}" srcOrd="2" destOrd="0" presId="urn:microsoft.com/office/officeart/2005/8/layout/orgChart1"/>
    <dgm:cxn modelId="{FF9B604E-7932-4C4C-9C8A-EF7D970E526F}" type="presParOf" srcId="{DB3E56CF-5AA2-483B-AEBB-9330E499DD17}" destId="{0EBC1BB1-F90E-4C53-9CD5-01D19D7029BF}" srcOrd="0" destOrd="0" presId="urn:microsoft.com/office/officeart/2005/8/layout/orgChart1"/>
    <dgm:cxn modelId="{3A26E498-A7BC-4AFE-9A51-24CA59773D55}" type="presParOf" srcId="{DB3E56CF-5AA2-483B-AEBB-9330E499DD17}" destId="{246F646B-6424-4EBA-A153-A1E9C3D3ACA4}" srcOrd="1" destOrd="0" presId="urn:microsoft.com/office/officeart/2005/8/layout/orgChart1"/>
    <dgm:cxn modelId="{81C0922F-9930-4840-B317-7DEC183B7D12}" type="presParOf" srcId="{246F646B-6424-4EBA-A153-A1E9C3D3ACA4}" destId="{91394F21-D2F5-46AE-BF98-64C786FD7EA7}" srcOrd="0" destOrd="0" presId="urn:microsoft.com/office/officeart/2005/8/layout/orgChart1"/>
    <dgm:cxn modelId="{F9406D34-0247-4055-9573-B23E522FF0DB}" type="presParOf" srcId="{91394F21-D2F5-46AE-BF98-64C786FD7EA7}" destId="{4046F638-E507-43D0-B020-703CFCF199BE}" srcOrd="0" destOrd="0" presId="urn:microsoft.com/office/officeart/2005/8/layout/orgChart1"/>
    <dgm:cxn modelId="{5F5DFFF4-2E4C-4915-9BB4-0AA9F5D3DDA4}" type="presParOf" srcId="{91394F21-D2F5-46AE-BF98-64C786FD7EA7}" destId="{1399746F-B077-4738-8DAE-2F45E11E084A}" srcOrd="1" destOrd="0" presId="urn:microsoft.com/office/officeart/2005/8/layout/orgChart1"/>
    <dgm:cxn modelId="{2F4D16DF-70B2-4D64-B8A6-651BAF80A5D0}" type="presParOf" srcId="{246F646B-6424-4EBA-A153-A1E9C3D3ACA4}" destId="{C4A95AEC-6F6E-4D91-8B06-7DB1A2738EB5}" srcOrd="1" destOrd="0" presId="urn:microsoft.com/office/officeart/2005/8/layout/orgChart1"/>
    <dgm:cxn modelId="{40BA69ED-8089-425B-8B12-89C68AC41554}" type="presParOf" srcId="{246F646B-6424-4EBA-A153-A1E9C3D3ACA4}" destId="{5672C176-1677-4CE0-B86B-F630ABFEE3DF}" srcOrd="2" destOrd="0" presId="urn:microsoft.com/office/officeart/2005/8/layout/orgChart1"/>
    <dgm:cxn modelId="{210A94DA-9705-4B3F-AC6B-CEC1E9D73E15}" type="presParOf" srcId="{DB3E56CF-5AA2-483B-AEBB-9330E499DD17}" destId="{86CC18BD-0522-46EE-A141-D13FB4B1A51A}" srcOrd="2" destOrd="0" presId="urn:microsoft.com/office/officeart/2005/8/layout/orgChart1"/>
    <dgm:cxn modelId="{B094E99B-9E77-45AB-A3BE-C7579E651CE0}" type="presParOf" srcId="{DB3E56CF-5AA2-483B-AEBB-9330E499DD17}" destId="{70958047-C8C2-4E69-927A-7545BAF2C17E}" srcOrd="3" destOrd="0" presId="urn:microsoft.com/office/officeart/2005/8/layout/orgChart1"/>
    <dgm:cxn modelId="{8BE68B50-F6BB-4F67-B33A-73A8DDEE8566}" type="presParOf" srcId="{70958047-C8C2-4E69-927A-7545BAF2C17E}" destId="{73D88748-3EE3-4E3C-9341-AC7BAF9D4C2D}" srcOrd="0" destOrd="0" presId="urn:microsoft.com/office/officeart/2005/8/layout/orgChart1"/>
    <dgm:cxn modelId="{78875CC0-C19A-469B-B5BE-CA16FD4ED075}" type="presParOf" srcId="{73D88748-3EE3-4E3C-9341-AC7BAF9D4C2D}" destId="{1DE29B64-2818-44A6-BC97-F0E829C2414B}" srcOrd="0" destOrd="0" presId="urn:microsoft.com/office/officeart/2005/8/layout/orgChart1"/>
    <dgm:cxn modelId="{613612BB-BFC4-44BD-A3DC-25ECD0BACB5F}" type="presParOf" srcId="{73D88748-3EE3-4E3C-9341-AC7BAF9D4C2D}" destId="{FEB7DAC5-63EC-4890-ABFD-279B5E60EBB7}" srcOrd="1" destOrd="0" presId="urn:microsoft.com/office/officeart/2005/8/layout/orgChart1"/>
    <dgm:cxn modelId="{767B66DF-8FED-43E9-BBFA-61F350CDF70D}" type="presParOf" srcId="{70958047-C8C2-4E69-927A-7545BAF2C17E}" destId="{2400B66E-1408-4050-8660-0EF8243D04E9}" srcOrd="1" destOrd="0" presId="urn:microsoft.com/office/officeart/2005/8/layout/orgChart1"/>
    <dgm:cxn modelId="{BA7A6BDE-3018-425A-B12C-86EE8FB5AF4F}" type="presParOf" srcId="{70958047-C8C2-4E69-927A-7545BAF2C17E}" destId="{0FEB8F1D-E944-478E-93A8-48CDADB61D21}" srcOrd="2" destOrd="0" presId="urn:microsoft.com/office/officeart/2005/8/layout/orgChart1"/>
  </dgm:cxnLst>
  <dgm:bg/>
  <dgm:whole/>
  <dgm:extLst>
    <a:ext uri="http://schemas.microsoft.com/office/drawing/2008/diagram">
      <dsp:dataModelExt xmlns:dsp="http://schemas.microsoft.com/office/drawing/2008/diagram" xmlns="" relId="rId5" minVer="http://schemas.openxmlformats.org/drawingml/2006/diagram"/>
    </a:ext>
  </dgm:extLst>
</dgm:dataModel>
</file>

<file path=xl/diagrams/drawing1.xml><?xml version="1.0" encoding="utf-8"?>
<dsp:drawing xmlns:dgm="http://schemas.openxmlformats.org/drawingml/2006/diagram" xmlns:a="http://schemas.openxmlformats.org/drawingml/2006/main" xmlns:dsp="http://schemas.microsoft.com/office/drawing/2008/diagram">
  <dsp:spTree>
    <dsp:nvGrpSpPr>
      <dsp:cNvPr id="0" name=""/>
      <dsp:cNvGrpSpPr/>
    </dsp:nvGrpSpPr>
    <dsp:grpSpPr/>
    <dsp:sp modelId="{86CC18BD-0522-46EE-A141-D13FB4B1A51A}">
      <dsp:nvSpPr>
        <dsp:cNvPr id="0" name=""/>
        <dsp:cNvSpPr/>
      </dsp:nvSpPr>
      <dsp:spPr>
        <a:xfrm>
          <a:off x="4313908" y="736241"/>
          <a:ext cx="91440" cy="663307"/>
        </a:xfrm>
        <a:custGeom>
          <a:avLst/>
          <a:gdLst/>
          <a:ahLst/>
          <a:cxnLst/>
          <a:rect l="0" t="0" r="0" b="0"/>
          <a:pathLst>
            <a:path>
              <a:moveTo>
                <a:pt x="52895" y="0"/>
              </a:moveTo>
              <a:lnTo>
                <a:pt x="45720" y="663307"/>
              </a:lnTo>
            </a:path>
          </a:pathLst>
        </a:custGeom>
        <a:noFill/>
        <a:ln w="25400" cap="flat" cmpd="sng" algn="ctr">
          <a:solidFill>
            <a:schemeClr val="accent3">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EBC1BB1-F90E-4C53-9CD5-01D19D7029BF}">
      <dsp:nvSpPr>
        <dsp:cNvPr id="0" name=""/>
        <dsp:cNvSpPr/>
      </dsp:nvSpPr>
      <dsp:spPr>
        <a:xfrm>
          <a:off x="4215396" y="736241"/>
          <a:ext cx="151407" cy="663307"/>
        </a:xfrm>
        <a:custGeom>
          <a:avLst/>
          <a:gdLst/>
          <a:ahLst/>
          <a:cxnLst/>
          <a:rect l="0" t="0" r="0" b="0"/>
          <a:pathLst>
            <a:path>
              <a:moveTo>
                <a:pt x="151407" y="0"/>
              </a:moveTo>
              <a:lnTo>
                <a:pt x="151407" y="663307"/>
              </a:lnTo>
              <a:lnTo>
                <a:pt x="0" y="663307"/>
              </a:lnTo>
            </a:path>
          </a:pathLst>
        </a:custGeom>
        <a:noFill/>
        <a:ln w="25400" cap="flat" cmpd="sng" algn="ctr">
          <a:solidFill>
            <a:schemeClr val="accent3">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1CAF15AB-E19C-4EC1-8086-3110A1102BF3}">
      <dsp:nvSpPr>
        <dsp:cNvPr id="0" name=""/>
        <dsp:cNvSpPr/>
      </dsp:nvSpPr>
      <dsp:spPr>
        <a:xfrm>
          <a:off x="2901788" y="2783842"/>
          <a:ext cx="536201" cy="636962"/>
        </a:xfrm>
        <a:custGeom>
          <a:avLst/>
          <a:gdLst/>
          <a:ahLst/>
          <a:cxnLst/>
          <a:rect l="0" t="0" r="0" b="0"/>
          <a:pathLst>
            <a:path>
              <a:moveTo>
                <a:pt x="0" y="0"/>
              </a:moveTo>
              <a:lnTo>
                <a:pt x="0" y="636962"/>
              </a:lnTo>
              <a:lnTo>
                <a:pt x="536201" y="636962"/>
              </a:lnTo>
            </a:path>
          </a:pathLst>
        </a:custGeom>
        <a:noFill/>
        <a:ln w="25400" cap="flat" cmpd="sng" algn="ctr">
          <a:solidFill>
            <a:schemeClr val="accent3">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9636846-CCCC-4752-8587-91C259A7F4BC}">
      <dsp:nvSpPr>
        <dsp:cNvPr id="0" name=""/>
        <dsp:cNvSpPr/>
      </dsp:nvSpPr>
      <dsp:spPr>
        <a:xfrm>
          <a:off x="4321083" y="736241"/>
          <a:ext cx="91440" cy="1326614"/>
        </a:xfrm>
        <a:custGeom>
          <a:avLst/>
          <a:gdLst/>
          <a:ahLst/>
          <a:cxnLst/>
          <a:rect l="0" t="0" r="0" b="0"/>
          <a:pathLst>
            <a:path>
              <a:moveTo>
                <a:pt x="45720" y="0"/>
              </a:moveTo>
              <a:lnTo>
                <a:pt x="45720" y="1326614"/>
              </a:lnTo>
            </a:path>
          </a:pathLst>
        </a:custGeom>
        <a:noFill/>
        <a:ln w="25400" cap="flat" cmpd="sng" algn="ctr">
          <a:solidFill>
            <a:schemeClr val="accent3">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36C1DC4-D155-4A9E-A707-8DB619419791}">
      <dsp:nvSpPr>
        <dsp:cNvPr id="0" name=""/>
        <dsp:cNvSpPr/>
      </dsp:nvSpPr>
      <dsp:spPr>
        <a:xfrm>
          <a:off x="2535534" y="15254"/>
          <a:ext cx="3662538" cy="720986"/>
        </a:xfrm>
        <a:prstGeom prst="rect">
          <a:avLst/>
        </a:prstGeom>
        <a:solidFill>
          <a:schemeClr val="lt1">
            <a:hueOff val="0"/>
            <a:satOff val="0"/>
            <a:lumOff val="0"/>
            <a:alphaOff val="0"/>
          </a:schemeClr>
        </a:solidFill>
        <a:ln w="38100" cap="flat" cmpd="sng" algn="ctr">
          <a:solidFill>
            <a:schemeClr val="accent3">
              <a:shade val="80000"/>
              <a:hueOff val="0"/>
              <a:satOff val="0"/>
              <a:lumOff val="0"/>
              <a:alphaOff val="0"/>
            </a:schemeClr>
          </a:solidFill>
          <a:prstDash val="solid"/>
        </a:ln>
        <a:effectLst>
          <a:outerShdw blurRad="40000" dist="20000" dir="5400000" rotWithShape="0">
            <a:srgbClr val="000000">
              <a:alpha val="38000"/>
            </a:srgbClr>
          </a:outerShdw>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lvl="0" algn="ctr" defTabSz="533400">
            <a:lnSpc>
              <a:spcPct val="90000"/>
            </a:lnSpc>
            <a:spcBef>
              <a:spcPct val="0"/>
            </a:spcBef>
            <a:spcAft>
              <a:spcPct val="35000"/>
            </a:spcAft>
          </a:pPr>
          <a:r>
            <a:rPr lang="es-CO" sz="1200" b="1" kern="1200">
              <a:latin typeface="Arial  "/>
            </a:rPr>
            <a:t>COORDINADOR  GENERAL</a:t>
          </a:r>
        </a:p>
      </dsp:txBody>
      <dsp:txXfrm>
        <a:off x="2535534" y="15254"/>
        <a:ext cx="3662538" cy="720986"/>
      </dsp:txXfrm>
    </dsp:sp>
    <dsp:sp modelId="{553B4D0B-78FF-49B8-BF53-668B91DF7A9E}">
      <dsp:nvSpPr>
        <dsp:cNvPr id="0" name=""/>
        <dsp:cNvSpPr/>
      </dsp:nvSpPr>
      <dsp:spPr>
        <a:xfrm>
          <a:off x="2535534" y="2062856"/>
          <a:ext cx="3662538" cy="720986"/>
        </a:xfrm>
        <a:prstGeom prst="rect">
          <a:avLst/>
        </a:prstGeom>
        <a:solidFill>
          <a:schemeClr val="lt1">
            <a:hueOff val="0"/>
            <a:satOff val="0"/>
            <a:lumOff val="0"/>
            <a:alphaOff val="0"/>
          </a:schemeClr>
        </a:solidFill>
        <a:ln w="38100" cap="flat" cmpd="sng" algn="ctr">
          <a:solidFill>
            <a:schemeClr val="accent3">
              <a:shade val="80000"/>
              <a:hueOff val="0"/>
              <a:satOff val="0"/>
              <a:lumOff val="0"/>
              <a:alphaOff val="0"/>
            </a:schemeClr>
          </a:solidFill>
          <a:prstDash val="solid"/>
        </a:ln>
        <a:effectLst>
          <a:outerShdw blurRad="40000" dist="20000" dir="5400000" rotWithShape="0">
            <a:srgbClr val="000000">
              <a:alpha val="38000"/>
            </a:srgbClr>
          </a:outerShdw>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lvl="0" algn="ctr" defTabSz="533400">
            <a:lnSpc>
              <a:spcPct val="90000"/>
            </a:lnSpc>
            <a:spcBef>
              <a:spcPct val="0"/>
            </a:spcBef>
            <a:spcAft>
              <a:spcPct val="35000"/>
            </a:spcAft>
          </a:pPr>
          <a:r>
            <a:rPr lang="es-CO" sz="1200" b="1" kern="1200">
              <a:latin typeface="Arial  "/>
            </a:rPr>
            <a:t>COORDINADOR METODOLOGICO</a:t>
          </a:r>
        </a:p>
      </dsp:txBody>
      <dsp:txXfrm>
        <a:off x="2535534" y="2062856"/>
        <a:ext cx="3662538" cy="720986"/>
      </dsp:txXfrm>
    </dsp:sp>
    <dsp:sp modelId="{2E850680-5152-4ED2-A1CA-3292BA82A259}">
      <dsp:nvSpPr>
        <dsp:cNvPr id="0" name=""/>
        <dsp:cNvSpPr/>
      </dsp:nvSpPr>
      <dsp:spPr>
        <a:xfrm>
          <a:off x="3437989" y="3060311"/>
          <a:ext cx="3497216" cy="720986"/>
        </a:xfrm>
        <a:prstGeom prst="rect">
          <a:avLst/>
        </a:prstGeom>
        <a:solidFill>
          <a:schemeClr val="lt1">
            <a:hueOff val="0"/>
            <a:satOff val="0"/>
            <a:lumOff val="0"/>
            <a:alphaOff val="0"/>
          </a:schemeClr>
        </a:solidFill>
        <a:ln w="38100" cap="flat" cmpd="sng" algn="ctr">
          <a:solidFill>
            <a:schemeClr val="accent3">
              <a:shade val="80000"/>
              <a:hueOff val="0"/>
              <a:satOff val="0"/>
              <a:lumOff val="0"/>
              <a:alphaOff val="0"/>
            </a:schemeClr>
          </a:solidFill>
          <a:prstDash val="solid"/>
        </a:ln>
        <a:effectLst>
          <a:outerShdw blurRad="40000" dist="20000" dir="5400000" rotWithShape="0">
            <a:srgbClr val="000000">
              <a:alpha val="38000"/>
            </a:srgbClr>
          </a:outerShdw>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lvl="0" algn="ctr" defTabSz="533400">
            <a:lnSpc>
              <a:spcPct val="90000"/>
            </a:lnSpc>
            <a:spcBef>
              <a:spcPct val="0"/>
            </a:spcBef>
            <a:spcAft>
              <a:spcPct val="35000"/>
            </a:spcAft>
          </a:pPr>
          <a:r>
            <a:rPr lang="es-CO" sz="1200" b="1" kern="1200">
              <a:latin typeface="Arial  "/>
            </a:rPr>
            <a:t>PROMOTOR DE DERECHOS</a:t>
          </a:r>
        </a:p>
      </dsp:txBody>
      <dsp:txXfrm>
        <a:off x="3437989" y="3060311"/>
        <a:ext cx="3497216" cy="720986"/>
      </dsp:txXfrm>
    </dsp:sp>
    <dsp:sp modelId="{4046F638-E507-43D0-B020-703CFCF199BE}">
      <dsp:nvSpPr>
        <dsp:cNvPr id="0" name=""/>
        <dsp:cNvSpPr/>
      </dsp:nvSpPr>
      <dsp:spPr>
        <a:xfrm>
          <a:off x="552857" y="1039055"/>
          <a:ext cx="3662538" cy="720986"/>
        </a:xfrm>
        <a:prstGeom prst="rect">
          <a:avLst/>
        </a:prstGeom>
        <a:solidFill>
          <a:schemeClr val="lt1">
            <a:hueOff val="0"/>
            <a:satOff val="0"/>
            <a:lumOff val="0"/>
            <a:alphaOff val="0"/>
          </a:schemeClr>
        </a:solidFill>
        <a:ln w="38100" cap="flat" cmpd="sng" algn="ctr">
          <a:solidFill>
            <a:schemeClr val="accent3">
              <a:shade val="80000"/>
              <a:hueOff val="0"/>
              <a:satOff val="0"/>
              <a:lumOff val="0"/>
              <a:alphaOff val="0"/>
            </a:schemeClr>
          </a:solidFill>
          <a:prstDash val="solid"/>
        </a:ln>
        <a:effectLst>
          <a:outerShdw blurRad="40000" dist="20000" dir="5400000" rotWithShape="0">
            <a:srgbClr val="000000">
              <a:alpha val="38000"/>
            </a:srgbClr>
          </a:outerShdw>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lvl="0" algn="ctr" defTabSz="533400">
            <a:lnSpc>
              <a:spcPct val="90000"/>
            </a:lnSpc>
            <a:spcBef>
              <a:spcPct val="0"/>
            </a:spcBef>
            <a:spcAft>
              <a:spcPct val="35000"/>
            </a:spcAft>
          </a:pPr>
          <a:r>
            <a:rPr lang="es-CO" sz="1200" b="1" kern="1200">
              <a:latin typeface="Arial  "/>
            </a:rPr>
            <a:t>COORDINADOR DE GARANTIAS DE DERECHO</a:t>
          </a:r>
        </a:p>
      </dsp:txBody>
      <dsp:txXfrm>
        <a:off x="552857" y="1039055"/>
        <a:ext cx="3662538" cy="720986"/>
      </dsp:txXfrm>
    </dsp:sp>
    <dsp:sp modelId="{1DE29B64-2818-44A6-BC97-F0E829C2414B}">
      <dsp:nvSpPr>
        <dsp:cNvPr id="0" name=""/>
        <dsp:cNvSpPr/>
      </dsp:nvSpPr>
      <dsp:spPr>
        <a:xfrm>
          <a:off x="4359628" y="1039055"/>
          <a:ext cx="3662538" cy="720986"/>
        </a:xfrm>
        <a:prstGeom prst="rect">
          <a:avLst/>
        </a:prstGeom>
        <a:solidFill>
          <a:schemeClr val="lt1">
            <a:hueOff val="0"/>
            <a:satOff val="0"/>
            <a:lumOff val="0"/>
            <a:alphaOff val="0"/>
          </a:schemeClr>
        </a:solidFill>
        <a:ln w="38100" cap="flat" cmpd="sng" algn="ctr">
          <a:solidFill>
            <a:schemeClr val="accent3">
              <a:shade val="80000"/>
              <a:hueOff val="0"/>
              <a:satOff val="0"/>
              <a:lumOff val="0"/>
              <a:alphaOff val="0"/>
            </a:schemeClr>
          </a:solidFill>
          <a:prstDash val="solid"/>
        </a:ln>
        <a:effectLst>
          <a:outerShdw blurRad="40000" dist="20000" dir="5400000" rotWithShape="0">
            <a:srgbClr val="000000">
              <a:alpha val="38000"/>
            </a:srgbClr>
          </a:outerShdw>
        </a:effectLst>
      </dsp:spPr>
      <dsp:style>
        <a:lnRef idx="3">
          <a:scrgbClr r="0" g="0" b="0"/>
        </a:lnRef>
        <a:fillRef idx="1">
          <a:scrgbClr r="0" g="0" b="0"/>
        </a:fillRef>
        <a:effectRef idx="1">
          <a:scrgbClr r="0" g="0" b="0"/>
        </a:effectRef>
        <a:fontRef idx="minor">
          <a:schemeClr val="lt1"/>
        </a:fontRef>
      </dsp:style>
      <dsp:txBody>
        <a:bodyPr spcFirstLastPara="0" vert="horz" wrap="square" lIns="7620" tIns="7620" rIns="7620" bIns="7620" numCol="1" spcCol="1270" anchor="ctr" anchorCtr="0">
          <a:noAutofit/>
        </a:bodyPr>
        <a:lstStyle/>
        <a:p>
          <a:pPr lvl="0" algn="ctr" defTabSz="533400">
            <a:lnSpc>
              <a:spcPct val="90000"/>
            </a:lnSpc>
            <a:spcBef>
              <a:spcPct val="0"/>
            </a:spcBef>
            <a:spcAft>
              <a:spcPct val="35000"/>
            </a:spcAft>
          </a:pPr>
          <a:r>
            <a:rPr lang="es-CO" sz="1200" b="1" kern="1200">
              <a:latin typeface="Arial  "/>
            </a:rPr>
            <a:t>GESTOR ADMINISTRATIVO</a:t>
          </a:r>
        </a:p>
      </dsp:txBody>
      <dsp:txXfrm>
        <a:off x="4359628" y="1039055"/>
        <a:ext cx="3662538" cy="720986"/>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3" Type="http://schemas.openxmlformats.org/officeDocument/2006/relationships/chart" Target="../charts/chart1.xml"/><Relationship Id="rId21" Type="http://schemas.openxmlformats.org/officeDocument/2006/relationships/chart" Target="../charts/chart19.xml"/><Relationship Id="rId34" Type="http://schemas.openxmlformats.org/officeDocument/2006/relationships/chart" Target="../charts/chart32.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2" Type="http://schemas.openxmlformats.org/officeDocument/2006/relationships/image" Target="../media/image3.jpeg"/><Relationship Id="rId16" Type="http://schemas.openxmlformats.org/officeDocument/2006/relationships/chart" Target="../charts/chart14.xml"/><Relationship Id="rId20" Type="http://schemas.openxmlformats.org/officeDocument/2006/relationships/chart" Target="../charts/chart18.xml"/><Relationship Id="rId29" Type="http://schemas.openxmlformats.org/officeDocument/2006/relationships/chart" Target="../charts/chart27.xml"/><Relationship Id="rId41" Type="http://schemas.openxmlformats.org/officeDocument/2006/relationships/chart" Target="../charts/chart39.xml"/><Relationship Id="rId1" Type="http://schemas.openxmlformats.org/officeDocument/2006/relationships/image" Target="../media/image2.jpe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6.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43395</xdr:colOff>
      <xdr:row>55</xdr:row>
      <xdr:rowOff>102660</xdr:rowOff>
    </xdr:from>
    <xdr:to>
      <xdr:col>1</xdr:col>
      <xdr:colOff>3035301</xdr:colOff>
      <xdr:row>57</xdr:row>
      <xdr:rowOff>152400</xdr:rowOff>
    </xdr:to>
    <xdr:pic>
      <xdr:nvPicPr>
        <xdr:cNvPr id="5"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24370" y="14066310"/>
          <a:ext cx="2991906" cy="48789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10</xdr:col>
      <xdr:colOff>91703</xdr:colOff>
      <xdr:row>88</xdr:row>
      <xdr:rowOff>110940</xdr:rowOff>
    </xdr:from>
    <xdr:to>
      <xdr:col>14</xdr:col>
      <xdr:colOff>586754</xdr:colOff>
      <xdr:row>91</xdr:row>
      <xdr:rowOff>176938</xdr:rowOff>
    </xdr:to>
    <xdr:pic>
      <xdr:nvPicPr>
        <xdr:cNvPr id="6"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874438" y="22309793"/>
          <a:ext cx="3543051" cy="68120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12</xdr:col>
      <xdr:colOff>10273</xdr:colOff>
      <xdr:row>119</xdr:row>
      <xdr:rowOff>118782</xdr:rowOff>
    </xdr:from>
    <xdr:to>
      <xdr:col>17</xdr:col>
      <xdr:colOff>487019</xdr:colOff>
      <xdr:row>123</xdr:row>
      <xdr:rowOff>131418</xdr:rowOff>
    </xdr:to>
    <xdr:pic>
      <xdr:nvPicPr>
        <xdr:cNvPr id="7"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317008" y="29265282"/>
          <a:ext cx="4286746" cy="83290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3</xdr:row>
      <xdr:rowOff>193674</xdr:rowOff>
    </xdr:from>
    <xdr:to>
      <xdr:col>32</xdr:col>
      <xdr:colOff>402167</xdr:colOff>
      <xdr:row>18</xdr:row>
      <xdr:rowOff>79374</xdr:rowOff>
    </xdr:to>
    <xdr:graphicFrame macro="">
      <xdr:nvGraphicFramePr>
        <xdr:cNvPr id="2" name="1 Diagrama"/>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32</xdr:col>
      <xdr:colOff>409576</xdr:colOff>
      <xdr:row>4</xdr:row>
      <xdr:rowOff>150284</xdr:rowOff>
    </xdr:from>
    <xdr:to>
      <xdr:col>32</xdr:col>
      <xdr:colOff>723900</xdr:colOff>
      <xdr:row>10</xdr:row>
      <xdr:rowOff>178859</xdr:rowOff>
    </xdr:to>
    <xdr:sp macro="" textlink="">
      <xdr:nvSpPr>
        <xdr:cNvPr id="3" name="2 Cerrar llave"/>
        <xdr:cNvSpPr/>
      </xdr:nvSpPr>
      <xdr:spPr>
        <a:xfrm>
          <a:off x="21798493" y="1526117"/>
          <a:ext cx="314324" cy="1330325"/>
        </a:xfrm>
        <a:prstGeom prst="righ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s-CO" sz="1100"/>
        </a:p>
      </xdr:txBody>
    </xdr:sp>
    <xdr:clientData/>
  </xdr:twoCellAnchor>
  <xdr:twoCellAnchor>
    <xdr:from>
      <xdr:col>31</xdr:col>
      <xdr:colOff>190500</xdr:colOff>
      <xdr:row>13</xdr:row>
      <xdr:rowOff>74083</xdr:rowOff>
    </xdr:from>
    <xdr:to>
      <xdr:col>32</xdr:col>
      <xdr:colOff>744141</xdr:colOff>
      <xdr:row>13</xdr:row>
      <xdr:rowOff>74084</xdr:rowOff>
    </xdr:to>
    <xdr:cxnSp macro="">
      <xdr:nvCxnSpPr>
        <xdr:cNvPr id="4" name="3 Conector recto de flecha"/>
        <xdr:cNvCxnSpPr/>
      </xdr:nvCxnSpPr>
      <xdr:spPr>
        <a:xfrm>
          <a:off x="20817417" y="3397250"/>
          <a:ext cx="1315641" cy="1"/>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31</xdr:col>
      <xdr:colOff>533400</xdr:colOff>
      <xdr:row>17</xdr:row>
      <xdr:rowOff>43391</xdr:rowOff>
    </xdr:from>
    <xdr:to>
      <xdr:col>32</xdr:col>
      <xdr:colOff>704850</xdr:colOff>
      <xdr:row>17</xdr:row>
      <xdr:rowOff>43391</xdr:rowOff>
    </xdr:to>
    <xdr:cxnSp macro="">
      <xdr:nvCxnSpPr>
        <xdr:cNvPr id="5" name="4 Conector recto de flecha"/>
        <xdr:cNvCxnSpPr/>
      </xdr:nvCxnSpPr>
      <xdr:spPr>
        <a:xfrm>
          <a:off x="21160317" y="4234391"/>
          <a:ext cx="933450" cy="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2203438</xdr:colOff>
      <xdr:row>1</xdr:row>
      <xdr:rowOff>103300</xdr:rowOff>
    </xdr:from>
    <xdr:to>
      <xdr:col>6</xdr:col>
      <xdr:colOff>639535</xdr:colOff>
      <xdr:row>6</xdr:row>
      <xdr:rowOff>36625</xdr:rowOff>
    </xdr:to>
    <xdr:sp macro="" textlink="">
      <xdr:nvSpPr>
        <xdr:cNvPr id="3" name="2 CuadroTexto"/>
        <xdr:cNvSpPr txBox="1"/>
      </xdr:nvSpPr>
      <xdr:spPr>
        <a:xfrm>
          <a:off x="1736713" y="303325"/>
          <a:ext cx="6722847"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15" name="14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43</xdr:col>
      <xdr:colOff>299357</xdr:colOff>
      <xdr:row>2</xdr:row>
      <xdr:rowOff>2402</xdr:rowOff>
    </xdr:from>
    <xdr:to>
      <xdr:col>43</xdr:col>
      <xdr:colOff>1279071</xdr:colOff>
      <xdr:row>5</xdr:row>
      <xdr:rowOff>186538</xdr:rowOff>
    </xdr:to>
    <xdr:pic>
      <xdr:nvPicPr>
        <xdr:cNvPr id="1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19" name="18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20" name="1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2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22" name="21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23" name="2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2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25" name="24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26" name="2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2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28" name="27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29" name="2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31" name="30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32" name="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34" name="33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35" name="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37" name="36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38" name="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40" name="39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41" name="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43" name="42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44" name="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46" name="45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47" name="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4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49" name="48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50" name="4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5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52" name="51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53" name="5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55" name="54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56" name="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5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58" name="57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59" name="5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239</xdr:col>
      <xdr:colOff>299357</xdr:colOff>
      <xdr:row>2</xdr:row>
      <xdr:rowOff>2402</xdr:rowOff>
    </xdr:from>
    <xdr:to>
      <xdr:col>239</xdr:col>
      <xdr:colOff>1279071</xdr:colOff>
      <xdr:row>5</xdr:row>
      <xdr:rowOff>186538</xdr:rowOff>
    </xdr:to>
    <xdr:pic>
      <xdr:nvPicPr>
        <xdr:cNvPr id="6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61" name="60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245</xdr:col>
      <xdr:colOff>122464</xdr:colOff>
      <xdr:row>1</xdr:row>
      <xdr:rowOff>176893</xdr:rowOff>
    </xdr:from>
    <xdr:to>
      <xdr:col>245</xdr:col>
      <xdr:colOff>1319893</xdr:colOff>
      <xdr:row>6</xdr:row>
      <xdr:rowOff>108857</xdr:rowOff>
    </xdr:to>
    <xdr:pic>
      <xdr:nvPicPr>
        <xdr:cNvPr id="62" name="6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6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64" name="63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65" name="6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6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67" name="66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68" name="6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15</xdr:col>
      <xdr:colOff>2203438</xdr:colOff>
      <xdr:row>1</xdr:row>
      <xdr:rowOff>103300</xdr:rowOff>
    </xdr:from>
    <xdr:to>
      <xdr:col>20</xdr:col>
      <xdr:colOff>639535</xdr:colOff>
      <xdr:row>6</xdr:row>
      <xdr:rowOff>36625</xdr:rowOff>
    </xdr:to>
    <xdr:sp macro="" textlink="">
      <xdr:nvSpPr>
        <xdr:cNvPr id="70" name="69 CuadroTexto"/>
        <xdr:cNvSpPr txBox="1"/>
      </xdr:nvSpPr>
      <xdr:spPr>
        <a:xfrm>
          <a:off x="1770331"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73" name="72 CuadroTexto"/>
        <xdr:cNvSpPr txBox="1"/>
      </xdr:nvSpPr>
      <xdr:spPr>
        <a:xfrm>
          <a:off x="1770331"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76" name="75 CuadroTexto"/>
        <xdr:cNvSpPr txBox="1"/>
      </xdr:nvSpPr>
      <xdr:spPr>
        <a:xfrm>
          <a:off x="1635860"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43</xdr:col>
      <xdr:colOff>299357</xdr:colOff>
      <xdr:row>2</xdr:row>
      <xdr:rowOff>2402</xdr:rowOff>
    </xdr:from>
    <xdr:to>
      <xdr:col>43</xdr:col>
      <xdr:colOff>1279071</xdr:colOff>
      <xdr:row>5</xdr:row>
      <xdr:rowOff>186538</xdr:rowOff>
    </xdr:to>
    <xdr:pic>
      <xdr:nvPicPr>
        <xdr:cNvPr id="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79" name="7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0" name="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2" name="8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3" name="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5" name="8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6" name="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8" name="8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9" name="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1" name="9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2" name="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4" name="9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5" name="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7" name="9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8" name="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100" name="9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101" name="1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3" name="10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04" name="1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6" name="10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07" name="1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9" name="10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10" name="1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12" name="11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13" name="1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15" name="11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16" name="1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18" name="11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19" name="1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21" name="12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22" name="1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24" name="12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25" name="1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2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23" name="22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24" name="22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26" name="22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27" name="22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29" name="22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0" name="22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32" name="23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3" name="23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3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35" name="23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6" name="23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3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38" name="23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39" name="23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1" name="24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2" name="24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4" name="24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5" name="24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7" name="24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8" name="24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4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0" name="24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51" name="25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5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53" name="25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54" name="25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5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6" name="25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57" name="25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5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9" name="25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60" name="25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6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62" name="26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63" name="26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6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65" name="26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66" name="26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6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68" name="26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69" name="26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7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71" name="27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72" name="27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7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74" name="27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75" name="27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7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77" name="27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78" name="27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7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80" name="27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81" name="28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8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3" name="28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84" name="28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8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6" name="28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87" name="28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8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9" name="28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90" name="28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2" name="29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3" name="29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5" name="29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6" name="29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8" name="29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9" name="29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30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301" name="30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302" name="30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0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04" name="30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05" name="30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0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07" name="30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08" name="30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0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0" name="30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1" name="31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1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3" name="31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4" name="31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1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6" name="31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7" name="31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1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19" name="31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0" name="31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2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2" name="32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3" name="32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2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5" name="32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6" name="32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2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8" name="32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9" name="32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31" name="33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32" name="3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34" name="33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35" name="3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37" name="33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38" name="3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40" name="33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41" name="3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43" name="34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44" name="3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46" name="34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47" name="3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4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49" name="34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0" name="34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5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52" name="35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3" name="35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55" name="35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6" name="3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239</xdr:col>
      <xdr:colOff>299357</xdr:colOff>
      <xdr:row>2</xdr:row>
      <xdr:rowOff>2402</xdr:rowOff>
    </xdr:from>
    <xdr:to>
      <xdr:col>239</xdr:col>
      <xdr:colOff>1279071</xdr:colOff>
      <xdr:row>5</xdr:row>
      <xdr:rowOff>186538</xdr:rowOff>
    </xdr:to>
    <xdr:pic>
      <xdr:nvPicPr>
        <xdr:cNvPr id="35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58" name="35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245</xdr:col>
      <xdr:colOff>122464</xdr:colOff>
      <xdr:row>1</xdr:row>
      <xdr:rowOff>176893</xdr:rowOff>
    </xdr:from>
    <xdr:to>
      <xdr:col>245</xdr:col>
      <xdr:colOff>1319893</xdr:colOff>
      <xdr:row>6</xdr:row>
      <xdr:rowOff>108857</xdr:rowOff>
    </xdr:to>
    <xdr:pic>
      <xdr:nvPicPr>
        <xdr:cNvPr id="359" name="35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6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61" name="36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62" name="36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239</xdr:col>
      <xdr:colOff>299357</xdr:colOff>
      <xdr:row>2</xdr:row>
      <xdr:rowOff>2402</xdr:rowOff>
    </xdr:from>
    <xdr:to>
      <xdr:col>239</xdr:col>
      <xdr:colOff>1279071</xdr:colOff>
      <xdr:row>5</xdr:row>
      <xdr:rowOff>186538</xdr:rowOff>
    </xdr:to>
    <xdr:pic>
      <xdr:nvPicPr>
        <xdr:cNvPr id="36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64" name="36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245</xdr:col>
      <xdr:colOff>122464</xdr:colOff>
      <xdr:row>1</xdr:row>
      <xdr:rowOff>176893</xdr:rowOff>
    </xdr:from>
    <xdr:to>
      <xdr:col>245</xdr:col>
      <xdr:colOff>1319893</xdr:colOff>
      <xdr:row>6</xdr:row>
      <xdr:rowOff>108857</xdr:rowOff>
    </xdr:to>
    <xdr:pic>
      <xdr:nvPicPr>
        <xdr:cNvPr id="365" name="36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239</xdr:col>
      <xdr:colOff>299357</xdr:colOff>
      <xdr:row>2</xdr:row>
      <xdr:rowOff>2402</xdr:rowOff>
    </xdr:from>
    <xdr:to>
      <xdr:col>239</xdr:col>
      <xdr:colOff>1279071</xdr:colOff>
      <xdr:row>5</xdr:row>
      <xdr:rowOff>186538</xdr:rowOff>
    </xdr:to>
    <xdr:pic>
      <xdr:nvPicPr>
        <xdr:cNvPr id="36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67" name="36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245</xdr:col>
      <xdr:colOff>122464</xdr:colOff>
      <xdr:row>1</xdr:row>
      <xdr:rowOff>176893</xdr:rowOff>
    </xdr:from>
    <xdr:to>
      <xdr:col>245</xdr:col>
      <xdr:colOff>1319893</xdr:colOff>
      <xdr:row>6</xdr:row>
      <xdr:rowOff>108857</xdr:rowOff>
    </xdr:to>
    <xdr:pic>
      <xdr:nvPicPr>
        <xdr:cNvPr id="368" name="36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239</xdr:col>
      <xdr:colOff>299357</xdr:colOff>
      <xdr:row>2</xdr:row>
      <xdr:rowOff>2402</xdr:rowOff>
    </xdr:from>
    <xdr:to>
      <xdr:col>239</xdr:col>
      <xdr:colOff>1279071</xdr:colOff>
      <xdr:row>5</xdr:row>
      <xdr:rowOff>186538</xdr:rowOff>
    </xdr:to>
    <xdr:pic>
      <xdr:nvPicPr>
        <xdr:cNvPr id="36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70" name="36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245</xdr:col>
      <xdr:colOff>122464</xdr:colOff>
      <xdr:row>1</xdr:row>
      <xdr:rowOff>176893</xdr:rowOff>
    </xdr:from>
    <xdr:to>
      <xdr:col>245</xdr:col>
      <xdr:colOff>1319893</xdr:colOff>
      <xdr:row>6</xdr:row>
      <xdr:rowOff>108857</xdr:rowOff>
    </xdr:to>
    <xdr:pic>
      <xdr:nvPicPr>
        <xdr:cNvPr id="371" name="37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7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3" name="37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74" name="37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7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6" name="37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77" name="37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9" name="37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80" name="3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82" name="38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83" name="3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85" name="38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86" name="3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3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388" name="38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389" name="3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1" name="39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2" name="3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4" name="39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5" name="3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7" name="39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8" name="3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3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0" name="39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01" name="4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4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3" name="40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04" name="4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4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6" name="40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07" name="4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4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9" name="40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10" name="4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12" name="41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13" name="4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15" name="41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16" name="4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18" name="41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19" name="4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21" name="42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22" name="4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24" name="42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25" name="4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27" name="42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28" name="4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0" name="42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31" name="4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3" name="43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34" name="4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6" name="43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37" name="4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39" name="43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0" name="4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42" name="44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43" name="4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45" name="44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6" name="4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48" name="44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9" name="4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51" name="45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52" name="4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54" name="45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55" name="4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57" name="45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58" name="4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60" name="45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61" name="4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6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63" name="46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64" name="46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6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66" name="46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67" name="46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6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69" name="46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70" name="46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2" name="47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3" name="47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5" name="47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6" name="47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8" name="47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9" name="47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1" name="48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2" name="48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4" name="48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5" name="48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7" name="48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8" name="48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90" name="48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91" name="49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49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493" name="49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494" name="49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49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496" name="49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497" name="49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49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499" name="49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0" name="49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50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502" name="50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3" name="50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50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505" name="50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6" name="50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0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08" name="50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09" name="50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1" name="51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2" name="51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4" name="51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5" name="51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7" name="51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8" name="51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1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0" name="51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21" name="52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2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23" name="52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24" name="52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6" name="52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27" name="52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9" name="52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30" name="52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32" name="53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33" name="53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3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35" name="53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36" name="53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3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38" name="53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39" name="53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4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41" name="54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42" name="54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4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44" name="54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45" name="54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4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47" name="54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48" name="54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4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50" name="54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51" name="55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5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3" name="55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54" name="55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5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6" name="55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57" name="55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5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9" name="55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60" name="55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2" name="56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3" name="56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5" name="56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6" name="56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8" name="56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9" name="56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7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71" name="57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72" name="57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7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74" name="57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75" name="57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7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77" name="57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78" name="57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7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0" name="57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1" name="58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8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3" name="58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4" name="58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8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6" name="58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7" name="58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8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89" name="58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0" name="58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2" name="59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3" name="59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5" name="59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6" name="59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8" name="59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9" name="59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15</xdr:col>
      <xdr:colOff>2203438</xdr:colOff>
      <xdr:row>1</xdr:row>
      <xdr:rowOff>103300</xdr:rowOff>
    </xdr:from>
    <xdr:to>
      <xdr:col>20</xdr:col>
      <xdr:colOff>639535</xdr:colOff>
      <xdr:row>6</xdr:row>
      <xdr:rowOff>36625</xdr:rowOff>
    </xdr:to>
    <xdr:sp macro="" textlink="">
      <xdr:nvSpPr>
        <xdr:cNvPr id="604" name="603 CuadroTexto"/>
        <xdr:cNvSpPr txBox="1"/>
      </xdr:nvSpPr>
      <xdr:spPr>
        <a:xfrm>
          <a:off x="1635860"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608" name="607 CuadroTexto"/>
        <xdr:cNvSpPr txBox="1"/>
      </xdr:nvSpPr>
      <xdr:spPr>
        <a:xfrm>
          <a:off x="1635860"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2" name="611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3" name="6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5" name="614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6" name="6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8" name="617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9" name="6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21" name="620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22" name="6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24" name="623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25" name="6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27" name="626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28" name="6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0" name="629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31" name="6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3" name="632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34" name="6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6" name="635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37" name="6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9" name="638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0" name="6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2" name="641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3" name="6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5" name="644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6" name="6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8" name="647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9" name="6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1" name="650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52" name="6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4" name="653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55" name="6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7" name="656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58" name="6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60" name="659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61" name="6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59</xdr:col>
      <xdr:colOff>108857</xdr:colOff>
      <xdr:row>71</xdr:row>
      <xdr:rowOff>176893</xdr:rowOff>
    </xdr:from>
    <xdr:to>
      <xdr:col>68</xdr:col>
      <xdr:colOff>20809</xdr:colOff>
      <xdr:row>92</xdr:row>
      <xdr:rowOff>36019</xdr:rowOff>
    </xdr:to>
    <xdr:graphicFrame macro="">
      <xdr:nvGraphicFramePr>
        <xdr:cNvPr id="606" name="60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73</xdr:col>
      <xdr:colOff>122464</xdr:colOff>
      <xdr:row>71</xdr:row>
      <xdr:rowOff>176894</xdr:rowOff>
    </xdr:from>
    <xdr:to>
      <xdr:col>82</xdr:col>
      <xdr:colOff>27214</xdr:colOff>
      <xdr:row>92</xdr:row>
      <xdr:rowOff>36020</xdr:rowOff>
    </xdr:to>
    <xdr:graphicFrame macro="">
      <xdr:nvGraphicFramePr>
        <xdr:cNvPr id="610" name="60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87</xdr:col>
      <xdr:colOff>108857</xdr:colOff>
      <xdr:row>71</xdr:row>
      <xdr:rowOff>176894</xdr:rowOff>
    </xdr:from>
    <xdr:to>
      <xdr:col>96</xdr:col>
      <xdr:colOff>13607</xdr:colOff>
      <xdr:row>92</xdr:row>
      <xdr:rowOff>36020</xdr:rowOff>
    </xdr:to>
    <xdr:graphicFrame macro="">
      <xdr:nvGraphicFramePr>
        <xdr:cNvPr id="662" name="66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101</xdr:col>
      <xdr:colOff>108857</xdr:colOff>
      <xdr:row>71</xdr:row>
      <xdr:rowOff>122464</xdr:rowOff>
    </xdr:from>
    <xdr:to>
      <xdr:col>110</xdr:col>
      <xdr:colOff>13607</xdr:colOff>
      <xdr:row>91</xdr:row>
      <xdr:rowOff>185697</xdr:rowOff>
    </xdr:to>
    <xdr:graphicFrame macro="">
      <xdr:nvGraphicFramePr>
        <xdr:cNvPr id="663" name="66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115</xdr:col>
      <xdr:colOff>108858</xdr:colOff>
      <xdr:row>71</xdr:row>
      <xdr:rowOff>149680</xdr:rowOff>
    </xdr:from>
    <xdr:to>
      <xdr:col>124</xdr:col>
      <xdr:colOff>13608</xdr:colOff>
      <xdr:row>92</xdr:row>
      <xdr:rowOff>8806</xdr:rowOff>
    </xdr:to>
    <xdr:graphicFrame macro="">
      <xdr:nvGraphicFramePr>
        <xdr:cNvPr id="664" name="66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129</xdr:col>
      <xdr:colOff>149679</xdr:colOff>
      <xdr:row>71</xdr:row>
      <xdr:rowOff>190501</xdr:rowOff>
    </xdr:from>
    <xdr:to>
      <xdr:col>138</xdr:col>
      <xdr:colOff>54428</xdr:colOff>
      <xdr:row>92</xdr:row>
      <xdr:rowOff>49627</xdr:rowOff>
    </xdr:to>
    <xdr:graphicFrame macro="">
      <xdr:nvGraphicFramePr>
        <xdr:cNvPr id="665" name="66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143</xdr:col>
      <xdr:colOff>122464</xdr:colOff>
      <xdr:row>71</xdr:row>
      <xdr:rowOff>176893</xdr:rowOff>
    </xdr:from>
    <xdr:to>
      <xdr:col>152</xdr:col>
      <xdr:colOff>27214</xdr:colOff>
      <xdr:row>92</xdr:row>
      <xdr:rowOff>36019</xdr:rowOff>
    </xdr:to>
    <xdr:graphicFrame macro="">
      <xdr:nvGraphicFramePr>
        <xdr:cNvPr id="666" name="66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157</xdr:col>
      <xdr:colOff>95250</xdr:colOff>
      <xdr:row>71</xdr:row>
      <xdr:rowOff>190501</xdr:rowOff>
    </xdr:from>
    <xdr:to>
      <xdr:col>163</xdr:col>
      <xdr:colOff>0</xdr:colOff>
      <xdr:row>92</xdr:row>
      <xdr:rowOff>49627</xdr:rowOff>
    </xdr:to>
    <xdr:graphicFrame macro="">
      <xdr:nvGraphicFramePr>
        <xdr:cNvPr id="667" name="66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171</xdr:col>
      <xdr:colOff>95250</xdr:colOff>
      <xdr:row>72</xdr:row>
      <xdr:rowOff>13607</xdr:rowOff>
    </xdr:from>
    <xdr:to>
      <xdr:col>177</xdr:col>
      <xdr:colOff>0</xdr:colOff>
      <xdr:row>92</xdr:row>
      <xdr:rowOff>76841</xdr:rowOff>
    </xdr:to>
    <xdr:graphicFrame macro="">
      <xdr:nvGraphicFramePr>
        <xdr:cNvPr id="668" name="66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185</xdr:col>
      <xdr:colOff>108857</xdr:colOff>
      <xdr:row>71</xdr:row>
      <xdr:rowOff>149679</xdr:rowOff>
    </xdr:from>
    <xdr:to>
      <xdr:col>194</xdr:col>
      <xdr:colOff>13607</xdr:colOff>
      <xdr:row>92</xdr:row>
      <xdr:rowOff>8805</xdr:rowOff>
    </xdr:to>
    <xdr:graphicFrame macro="">
      <xdr:nvGraphicFramePr>
        <xdr:cNvPr id="669" name="66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199</xdr:col>
      <xdr:colOff>136071</xdr:colOff>
      <xdr:row>71</xdr:row>
      <xdr:rowOff>136071</xdr:rowOff>
    </xdr:from>
    <xdr:to>
      <xdr:col>208</xdr:col>
      <xdr:colOff>40821</xdr:colOff>
      <xdr:row>91</xdr:row>
      <xdr:rowOff>199304</xdr:rowOff>
    </xdr:to>
    <xdr:graphicFrame macro="">
      <xdr:nvGraphicFramePr>
        <xdr:cNvPr id="670" name="66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213</xdr:col>
      <xdr:colOff>68035</xdr:colOff>
      <xdr:row>71</xdr:row>
      <xdr:rowOff>190501</xdr:rowOff>
    </xdr:from>
    <xdr:to>
      <xdr:col>218</xdr:col>
      <xdr:colOff>27214</xdr:colOff>
      <xdr:row>92</xdr:row>
      <xdr:rowOff>49627</xdr:rowOff>
    </xdr:to>
    <xdr:graphicFrame macro="">
      <xdr:nvGraphicFramePr>
        <xdr:cNvPr id="671" name="67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227</xdr:col>
      <xdr:colOff>68036</xdr:colOff>
      <xdr:row>71</xdr:row>
      <xdr:rowOff>163286</xdr:rowOff>
    </xdr:from>
    <xdr:to>
      <xdr:col>232</xdr:col>
      <xdr:colOff>27214</xdr:colOff>
      <xdr:row>92</xdr:row>
      <xdr:rowOff>22412</xdr:rowOff>
    </xdr:to>
    <xdr:graphicFrame macro="">
      <xdr:nvGraphicFramePr>
        <xdr:cNvPr id="672" name="67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241</xdr:col>
      <xdr:colOff>108857</xdr:colOff>
      <xdr:row>71</xdr:row>
      <xdr:rowOff>190501</xdr:rowOff>
    </xdr:from>
    <xdr:to>
      <xdr:col>250</xdr:col>
      <xdr:colOff>13607</xdr:colOff>
      <xdr:row>92</xdr:row>
      <xdr:rowOff>49627</xdr:rowOff>
    </xdr:to>
    <xdr:graphicFrame macro="">
      <xdr:nvGraphicFramePr>
        <xdr:cNvPr id="673" name="67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255</xdr:col>
      <xdr:colOff>95250</xdr:colOff>
      <xdr:row>72</xdr:row>
      <xdr:rowOff>0</xdr:rowOff>
    </xdr:from>
    <xdr:to>
      <xdr:col>261</xdr:col>
      <xdr:colOff>0</xdr:colOff>
      <xdr:row>92</xdr:row>
      <xdr:rowOff>63234</xdr:rowOff>
    </xdr:to>
    <xdr:graphicFrame macro="">
      <xdr:nvGraphicFramePr>
        <xdr:cNvPr id="674" name="67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283</xdr:col>
      <xdr:colOff>122464</xdr:colOff>
      <xdr:row>71</xdr:row>
      <xdr:rowOff>176893</xdr:rowOff>
    </xdr:from>
    <xdr:to>
      <xdr:col>292</xdr:col>
      <xdr:colOff>27214</xdr:colOff>
      <xdr:row>92</xdr:row>
      <xdr:rowOff>36019</xdr:rowOff>
    </xdr:to>
    <xdr:graphicFrame macro="">
      <xdr:nvGraphicFramePr>
        <xdr:cNvPr id="675" name="67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297</xdr:col>
      <xdr:colOff>68036</xdr:colOff>
      <xdr:row>71</xdr:row>
      <xdr:rowOff>176894</xdr:rowOff>
    </xdr:from>
    <xdr:to>
      <xdr:col>302</xdr:col>
      <xdr:colOff>27215</xdr:colOff>
      <xdr:row>92</xdr:row>
      <xdr:rowOff>36020</xdr:rowOff>
    </xdr:to>
    <xdr:graphicFrame macro="">
      <xdr:nvGraphicFramePr>
        <xdr:cNvPr id="676" name="67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311</xdr:col>
      <xdr:colOff>81643</xdr:colOff>
      <xdr:row>72</xdr:row>
      <xdr:rowOff>0</xdr:rowOff>
    </xdr:from>
    <xdr:to>
      <xdr:col>316</xdr:col>
      <xdr:colOff>40822</xdr:colOff>
      <xdr:row>92</xdr:row>
      <xdr:rowOff>63234</xdr:rowOff>
    </xdr:to>
    <xdr:graphicFrame macro="">
      <xdr:nvGraphicFramePr>
        <xdr:cNvPr id="677" name="67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325</xdr:col>
      <xdr:colOff>95250</xdr:colOff>
      <xdr:row>71</xdr:row>
      <xdr:rowOff>190501</xdr:rowOff>
    </xdr:from>
    <xdr:to>
      <xdr:col>331</xdr:col>
      <xdr:colOff>0</xdr:colOff>
      <xdr:row>92</xdr:row>
      <xdr:rowOff>49627</xdr:rowOff>
    </xdr:to>
    <xdr:graphicFrame macro="">
      <xdr:nvGraphicFramePr>
        <xdr:cNvPr id="678" name="67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339</xdr:col>
      <xdr:colOff>81643</xdr:colOff>
      <xdr:row>71</xdr:row>
      <xdr:rowOff>190501</xdr:rowOff>
    </xdr:from>
    <xdr:to>
      <xdr:col>344</xdr:col>
      <xdr:colOff>40821</xdr:colOff>
      <xdr:row>92</xdr:row>
      <xdr:rowOff>49627</xdr:rowOff>
    </xdr:to>
    <xdr:graphicFrame macro="">
      <xdr:nvGraphicFramePr>
        <xdr:cNvPr id="679" name="67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353</xdr:col>
      <xdr:colOff>108857</xdr:colOff>
      <xdr:row>71</xdr:row>
      <xdr:rowOff>190501</xdr:rowOff>
    </xdr:from>
    <xdr:to>
      <xdr:col>362</xdr:col>
      <xdr:colOff>13607</xdr:colOff>
      <xdr:row>92</xdr:row>
      <xdr:rowOff>49627</xdr:rowOff>
    </xdr:to>
    <xdr:graphicFrame macro="">
      <xdr:nvGraphicFramePr>
        <xdr:cNvPr id="680" name="67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367</xdr:col>
      <xdr:colOff>163285</xdr:colOff>
      <xdr:row>71</xdr:row>
      <xdr:rowOff>190501</xdr:rowOff>
    </xdr:from>
    <xdr:to>
      <xdr:col>376</xdr:col>
      <xdr:colOff>68035</xdr:colOff>
      <xdr:row>92</xdr:row>
      <xdr:rowOff>49627</xdr:rowOff>
    </xdr:to>
    <xdr:graphicFrame macro="">
      <xdr:nvGraphicFramePr>
        <xdr:cNvPr id="681" name="68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381</xdr:col>
      <xdr:colOff>68036</xdr:colOff>
      <xdr:row>72</xdr:row>
      <xdr:rowOff>0</xdr:rowOff>
    </xdr:from>
    <xdr:to>
      <xdr:col>386</xdr:col>
      <xdr:colOff>27214</xdr:colOff>
      <xdr:row>92</xdr:row>
      <xdr:rowOff>63234</xdr:rowOff>
    </xdr:to>
    <xdr:graphicFrame macro="">
      <xdr:nvGraphicFramePr>
        <xdr:cNvPr id="682" name="68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395</xdr:col>
      <xdr:colOff>95250</xdr:colOff>
      <xdr:row>71</xdr:row>
      <xdr:rowOff>176894</xdr:rowOff>
    </xdr:from>
    <xdr:to>
      <xdr:col>401</xdr:col>
      <xdr:colOff>0</xdr:colOff>
      <xdr:row>92</xdr:row>
      <xdr:rowOff>36020</xdr:rowOff>
    </xdr:to>
    <xdr:graphicFrame macro="">
      <xdr:nvGraphicFramePr>
        <xdr:cNvPr id="683" name="68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409</xdr:col>
      <xdr:colOff>149679</xdr:colOff>
      <xdr:row>71</xdr:row>
      <xdr:rowOff>190501</xdr:rowOff>
    </xdr:from>
    <xdr:to>
      <xdr:col>418</xdr:col>
      <xdr:colOff>54429</xdr:colOff>
      <xdr:row>92</xdr:row>
      <xdr:rowOff>49627</xdr:rowOff>
    </xdr:to>
    <xdr:graphicFrame macro="">
      <xdr:nvGraphicFramePr>
        <xdr:cNvPr id="684" name="68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423</xdr:col>
      <xdr:colOff>122464</xdr:colOff>
      <xdr:row>71</xdr:row>
      <xdr:rowOff>176893</xdr:rowOff>
    </xdr:from>
    <xdr:to>
      <xdr:col>432</xdr:col>
      <xdr:colOff>27214</xdr:colOff>
      <xdr:row>92</xdr:row>
      <xdr:rowOff>36019</xdr:rowOff>
    </xdr:to>
    <xdr:graphicFrame macro="">
      <xdr:nvGraphicFramePr>
        <xdr:cNvPr id="685" name="68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437</xdr:col>
      <xdr:colOff>68035</xdr:colOff>
      <xdr:row>71</xdr:row>
      <xdr:rowOff>176894</xdr:rowOff>
    </xdr:from>
    <xdr:to>
      <xdr:col>442</xdr:col>
      <xdr:colOff>27213</xdr:colOff>
      <xdr:row>92</xdr:row>
      <xdr:rowOff>36020</xdr:rowOff>
    </xdr:to>
    <xdr:graphicFrame macro="">
      <xdr:nvGraphicFramePr>
        <xdr:cNvPr id="686" name="68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451</xdr:col>
      <xdr:colOff>122464</xdr:colOff>
      <xdr:row>71</xdr:row>
      <xdr:rowOff>176894</xdr:rowOff>
    </xdr:from>
    <xdr:to>
      <xdr:col>460</xdr:col>
      <xdr:colOff>27214</xdr:colOff>
      <xdr:row>92</xdr:row>
      <xdr:rowOff>36020</xdr:rowOff>
    </xdr:to>
    <xdr:graphicFrame macro="">
      <xdr:nvGraphicFramePr>
        <xdr:cNvPr id="687" name="68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465</xdr:col>
      <xdr:colOff>95250</xdr:colOff>
      <xdr:row>71</xdr:row>
      <xdr:rowOff>190501</xdr:rowOff>
    </xdr:from>
    <xdr:to>
      <xdr:col>471</xdr:col>
      <xdr:colOff>0</xdr:colOff>
      <xdr:row>92</xdr:row>
      <xdr:rowOff>49627</xdr:rowOff>
    </xdr:to>
    <xdr:graphicFrame macro="">
      <xdr:nvGraphicFramePr>
        <xdr:cNvPr id="688" name="68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479</xdr:col>
      <xdr:colOff>81642</xdr:colOff>
      <xdr:row>72</xdr:row>
      <xdr:rowOff>0</xdr:rowOff>
    </xdr:from>
    <xdr:to>
      <xdr:col>484</xdr:col>
      <xdr:colOff>40820</xdr:colOff>
      <xdr:row>92</xdr:row>
      <xdr:rowOff>63234</xdr:rowOff>
    </xdr:to>
    <xdr:graphicFrame macro="">
      <xdr:nvGraphicFramePr>
        <xdr:cNvPr id="689" name="68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493</xdr:col>
      <xdr:colOff>81643</xdr:colOff>
      <xdr:row>72</xdr:row>
      <xdr:rowOff>0</xdr:rowOff>
    </xdr:from>
    <xdr:to>
      <xdr:col>498</xdr:col>
      <xdr:colOff>40822</xdr:colOff>
      <xdr:row>92</xdr:row>
      <xdr:rowOff>63234</xdr:rowOff>
    </xdr:to>
    <xdr:graphicFrame macro="">
      <xdr:nvGraphicFramePr>
        <xdr:cNvPr id="690" name="68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521</xdr:col>
      <xdr:colOff>122465</xdr:colOff>
      <xdr:row>72</xdr:row>
      <xdr:rowOff>0</xdr:rowOff>
    </xdr:from>
    <xdr:to>
      <xdr:col>530</xdr:col>
      <xdr:colOff>27215</xdr:colOff>
      <xdr:row>92</xdr:row>
      <xdr:rowOff>63234</xdr:rowOff>
    </xdr:to>
    <xdr:graphicFrame macro="">
      <xdr:nvGraphicFramePr>
        <xdr:cNvPr id="691" name="69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29</xdr:col>
      <xdr:colOff>2203438</xdr:colOff>
      <xdr:row>1</xdr:row>
      <xdr:rowOff>103300</xdr:rowOff>
    </xdr:from>
    <xdr:to>
      <xdr:col>34</xdr:col>
      <xdr:colOff>639535</xdr:colOff>
      <xdr:row>6</xdr:row>
      <xdr:rowOff>36625</xdr:rowOff>
    </xdr:to>
    <xdr:sp macro="" textlink="">
      <xdr:nvSpPr>
        <xdr:cNvPr id="693" name="692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29</xdr:col>
      <xdr:colOff>2203438</xdr:colOff>
      <xdr:row>1</xdr:row>
      <xdr:rowOff>103300</xdr:rowOff>
    </xdr:from>
    <xdr:to>
      <xdr:col>34</xdr:col>
      <xdr:colOff>639535</xdr:colOff>
      <xdr:row>6</xdr:row>
      <xdr:rowOff>36625</xdr:rowOff>
    </xdr:to>
    <xdr:sp macro="" textlink="">
      <xdr:nvSpPr>
        <xdr:cNvPr id="696" name="695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29</xdr:col>
      <xdr:colOff>2203438</xdr:colOff>
      <xdr:row>1</xdr:row>
      <xdr:rowOff>103300</xdr:rowOff>
    </xdr:from>
    <xdr:to>
      <xdr:col>34</xdr:col>
      <xdr:colOff>639535</xdr:colOff>
      <xdr:row>6</xdr:row>
      <xdr:rowOff>36625</xdr:rowOff>
    </xdr:to>
    <xdr:sp macro="" textlink="">
      <xdr:nvSpPr>
        <xdr:cNvPr id="699" name="698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29</xdr:col>
      <xdr:colOff>2203438</xdr:colOff>
      <xdr:row>1</xdr:row>
      <xdr:rowOff>103300</xdr:rowOff>
    </xdr:from>
    <xdr:to>
      <xdr:col>34</xdr:col>
      <xdr:colOff>639535</xdr:colOff>
      <xdr:row>6</xdr:row>
      <xdr:rowOff>36625</xdr:rowOff>
    </xdr:to>
    <xdr:sp macro="" textlink="">
      <xdr:nvSpPr>
        <xdr:cNvPr id="702" name="701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29</xdr:col>
      <xdr:colOff>2203438</xdr:colOff>
      <xdr:row>1</xdr:row>
      <xdr:rowOff>103300</xdr:rowOff>
    </xdr:from>
    <xdr:to>
      <xdr:col>34</xdr:col>
      <xdr:colOff>639535</xdr:colOff>
      <xdr:row>6</xdr:row>
      <xdr:rowOff>36625</xdr:rowOff>
    </xdr:to>
    <xdr:sp macro="" textlink="">
      <xdr:nvSpPr>
        <xdr:cNvPr id="705" name="704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29</xdr:col>
      <xdr:colOff>489857</xdr:colOff>
      <xdr:row>2</xdr:row>
      <xdr:rowOff>2402</xdr:rowOff>
    </xdr:from>
    <xdr:to>
      <xdr:col>29</xdr:col>
      <xdr:colOff>1266825</xdr:colOff>
      <xdr:row>5</xdr:row>
      <xdr:rowOff>186538</xdr:rowOff>
    </xdr:to>
    <xdr:pic>
      <xdr:nvPicPr>
        <xdr:cNvPr id="70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3245082" y="402452"/>
          <a:ext cx="776968" cy="784211"/>
        </a:xfrm>
        <a:prstGeom prst="rect">
          <a:avLst/>
        </a:prstGeom>
        <a:noFill/>
        <a:ln w="9525">
          <a:noFill/>
          <a:miter lim="800000"/>
          <a:headEnd/>
          <a:tailEnd/>
        </a:ln>
      </xdr:spPr>
    </xdr:pic>
    <xdr:clientData/>
  </xdr:twoCellAnchor>
  <xdr:twoCellAnchor>
    <xdr:from>
      <xdr:col>29</xdr:col>
      <xdr:colOff>2203438</xdr:colOff>
      <xdr:row>1</xdr:row>
      <xdr:rowOff>103300</xdr:rowOff>
    </xdr:from>
    <xdr:to>
      <xdr:col>34</xdr:col>
      <xdr:colOff>639535</xdr:colOff>
      <xdr:row>6</xdr:row>
      <xdr:rowOff>36625</xdr:rowOff>
    </xdr:to>
    <xdr:sp macro="" textlink="">
      <xdr:nvSpPr>
        <xdr:cNvPr id="708" name="707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xdr:col>
      <xdr:colOff>532039</xdr:colOff>
      <xdr:row>1</xdr:row>
      <xdr:rowOff>148318</xdr:rowOff>
    </xdr:from>
    <xdr:to>
      <xdr:col>35</xdr:col>
      <xdr:colOff>1333500</xdr:colOff>
      <xdr:row>6</xdr:row>
      <xdr:rowOff>80282</xdr:rowOff>
    </xdr:to>
    <xdr:pic>
      <xdr:nvPicPr>
        <xdr:cNvPr id="709" name="70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955014" y="348343"/>
          <a:ext cx="801461" cy="93208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97" name="696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698" name="697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0" name="699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1" name="700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3" name="702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4" name="703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57</xdr:col>
      <xdr:colOff>299357</xdr:colOff>
      <xdr:row>2</xdr:row>
      <xdr:rowOff>2402</xdr:rowOff>
    </xdr:from>
    <xdr:to>
      <xdr:col>57</xdr:col>
      <xdr:colOff>1279071</xdr:colOff>
      <xdr:row>5</xdr:row>
      <xdr:rowOff>186538</xdr:rowOff>
    </xdr:to>
    <xdr:pic>
      <xdr:nvPicPr>
        <xdr:cNvPr id="7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2" name="71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3" name="7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5" name="71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6" name="7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8" name="717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9" name="7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1" name="720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2" name="7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4" name="72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5" name="7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7" name="72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8" name="7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0" name="729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1" name="7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3" name="732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4" name="7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6" name="735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7" name="7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9" name="738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0" name="7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2" name="74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3" name="7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5" name="74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6" name="7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8" name="747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9" name="7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1" name="750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2" name="7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4" name="75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5" name="7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7" name="75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8" name="7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60" name="759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61" name="7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62" name="76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3" name="762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4" name="76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5" name="76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6" name="765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7" name="76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71</xdr:col>
      <xdr:colOff>299357</xdr:colOff>
      <xdr:row>2</xdr:row>
      <xdr:rowOff>2402</xdr:rowOff>
    </xdr:from>
    <xdr:to>
      <xdr:col>71</xdr:col>
      <xdr:colOff>1279071</xdr:colOff>
      <xdr:row>5</xdr:row>
      <xdr:rowOff>186538</xdr:rowOff>
    </xdr:to>
    <xdr:pic>
      <xdr:nvPicPr>
        <xdr:cNvPr id="76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69" name="76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0" name="76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7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2" name="77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3" name="77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7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5" name="77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6" name="77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7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8" name="77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9" name="77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8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1" name="78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82" name="78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73</xdr:col>
      <xdr:colOff>108857</xdr:colOff>
      <xdr:row>71</xdr:row>
      <xdr:rowOff>176893</xdr:rowOff>
    </xdr:from>
    <xdr:to>
      <xdr:col>82</xdr:col>
      <xdr:colOff>20809</xdr:colOff>
      <xdr:row>92</xdr:row>
      <xdr:rowOff>36019</xdr:rowOff>
    </xdr:to>
    <xdr:graphicFrame macro="">
      <xdr:nvGraphicFramePr>
        <xdr:cNvPr id="783" name="78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71</xdr:col>
      <xdr:colOff>299357</xdr:colOff>
      <xdr:row>2</xdr:row>
      <xdr:rowOff>2402</xdr:rowOff>
    </xdr:from>
    <xdr:to>
      <xdr:col>71</xdr:col>
      <xdr:colOff>1279071</xdr:colOff>
      <xdr:row>5</xdr:row>
      <xdr:rowOff>186538</xdr:rowOff>
    </xdr:to>
    <xdr:pic>
      <xdr:nvPicPr>
        <xdr:cNvPr id="7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5" name="78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86" name="7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8" name="78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89" name="7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1" name="79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92" name="7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4" name="79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95" name="7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7" name="79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98" name="7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0" name="79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01" name="8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3" name="80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04" name="8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6" name="80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07" name="8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9" name="80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0" name="8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2" name="81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3" name="8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5" name="81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6" name="8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8" name="81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9" name="8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1" name="82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22" name="8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4" name="82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25" name="8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7" name="82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28" name="8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0" name="82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31" name="8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3" name="83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34" name="8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5" name="83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6" name="83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7" name="83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8" name="83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9" name="83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40" name="83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71</xdr:col>
      <xdr:colOff>299357</xdr:colOff>
      <xdr:row>2</xdr:row>
      <xdr:rowOff>2402</xdr:rowOff>
    </xdr:from>
    <xdr:to>
      <xdr:col>71</xdr:col>
      <xdr:colOff>1279071</xdr:colOff>
      <xdr:row>5</xdr:row>
      <xdr:rowOff>186538</xdr:rowOff>
    </xdr:to>
    <xdr:pic>
      <xdr:nvPicPr>
        <xdr:cNvPr id="8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2" name="84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43" name="8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5" name="84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46" name="8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8" name="84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49" name="8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1" name="85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52" name="8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4" name="85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55" name="8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5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8" name="85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59" name="85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1" name="86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62" name="86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4" name="86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65" name="86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7" name="86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68" name="86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0" name="86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71" name="87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7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3" name="87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74" name="87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7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6" name="87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77" name="87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9" name="87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0" name="8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2" name="88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3" name="8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5" name="88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6" name="8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8" name="88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9" name="8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1" name="89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92" name="8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4" name="89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95" name="8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7" name="89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98" name="8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0" name="89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901" name="9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9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3" name="90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904" name="9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9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6" name="90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907" name="9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8" name="90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09" name="90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0" name="90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1" name="91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2" name="91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3" name="91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15" name="914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16" name="9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18" name="917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19" name="9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1" name="920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22" name="9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4" name="923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25" name="9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7" name="926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28" name="9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507</xdr:col>
      <xdr:colOff>81643</xdr:colOff>
      <xdr:row>72</xdr:row>
      <xdr:rowOff>0</xdr:rowOff>
    </xdr:from>
    <xdr:to>
      <xdr:col>512</xdr:col>
      <xdr:colOff>40822</xdr:colOff>
      <xdr:row>92</xdr:row>
      <xdr:rowOff>63234</xdr:rowOff>
    </xdr:to>
    <xdr:graphicFrame macro="">
      <xdr:nvGraphicFramePr>
        <xdr:cNvPr id="929" name="9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1" name="930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32" name="9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4" name="933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35" name="9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7" name="936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38" name="9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0" name="939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41" name="9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3" name="942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44" name="9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6" name="945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47" name="9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269</xdr:col>
      <xdr:colOff>95250</xdr:colOff>
      <xdr:row>72</xdr:row>
      <xdr:rowOff>0</xdr:rowOff>
    </xdr:from>
    <xdr:to>
      <xdr:col>275</xdr:col>
      <xdr:colOff>0</xdr:colOff>
      <xdr:row>92</xdr:row>
      <xdr:rowOff>63234</xdr:rowOff>
    </xdr:to>
    <xdr:graphicFrame macro="">
      <xdr:nvGraphicFramePr>
        <xdr:cNvPr id="948" name="94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9" name="948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0" name="949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1" name="950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2" name="951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3" name="952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267</xdr:col>
      <xdr:colOff>489857</xdr:colOff>
      <xdr:row>2</xdr:row>
      <xdr:rowOff>2402</xdr:rowOff>
    </xdr:from>
    <xdr:to>
      <xdr:col>267</xdr:col>
      <xdr:colOff>1266825</xdr:colOff>
      <xdr:row>5</xdr:row>
      <xdr:rowOff>186538</xdr:rowOff>
    </xdr:to>
    <xdr:pic>
      <xdr:nvPicPr>
        <xdr:cNvPr id="9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3213786" y="410616"/>
          <a:ext cx="776968"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5" name="954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532039</xdr:colOff>
      <xdr:row>1</xdr:row>
      <xdr:rowOff>148318</xdr:rowOff>
    </xdr:from>
    <xdr:to>
      <xdr:col>273</xdr:col>
      <xdr:colOff>1333500</xdr:colOff>
      <xdr:row>6</xdr:row>
      <xdr:rowOff>80282</xdr:rowOff>
    </xdr:to>
    <xdr:pic>
      <xdr:nvPicPr>
        <xdr:cNvPr id="956" name="9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910110" y="352425"/>
          <a:ext cx="801461"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95250</xdr:colOff>
      <xdr:row>71</xdr:row>
      <xdr:rowOff>190500</xdr:rowOff>
    </xdr:from>
    <xdr:to>
      <xdr:col>9</xdr:col>
      <xdr:colOff>7202</xdr:colOff>
      <xdr:row>92</xdr:row>
      <xdr:rowOff>49626</xdr:rowOff>
    </xdr:to>
    <xdr:graphicFrame macro="">
      <xdr:nvGraphicFramePr>
        <xdr:cNvPr id="856" name="85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17</xdr:col>
      <xdr:colOff>68036</xdr:colOff>
      <xdr:row>71</xdr:row>
      <xdr:rowOff>190501</xdr:rowOff>
    </xdr:from>
    <xdr:to>
      <xdr:col>22</xdr:col>
      <xdr:colOff>27214</xdr:colOff>
      <xdr:row>92</xdr:row>
      <xdr:rowOff>49627</xdr:rowOff>
    </xdr:to>
    <xdr:graphicFrame macro="">
      <xdr:nvGraphicFramePr>
        <xdr:cNvPr id="957" name="95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31</xdr:col>
      <xdr:colOff>163285</xdr:colOff>
      <xdr:row>72</xdr:row>
      <xdr:rowOff>0</xdr:rowOff>
    </xdr:from>
    <xdr:to>
      <xdr:col>40</xdr:col>
      <xdr:colOff>68035</xdr:colOff>
      <xdr:row>92</xdr:row>
      <xdr:rowOff>63234</xdr:rowOff>
    </xdr:to>
    <xdr:graphicFrame macro="">
      <xdr:nvGraphicFramePr>
        <xdr:cNvPr id="958" name="95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45</xdr:col>
      <xdr:colOff>68036</xdr:colOff>
      <xdr:row>72</xdr:row>
      <xdr:rowOff>0</xdr:rowOff>
    </xdr:from>
    <xdr:to>
      <xdr:col>50</xdr:col>
      <xdr:colOff>27214</xdr:colOff>
      <xdr:row>92</xdr:row>
      <xdr:rowOff>63234</xdr:rowOff>
    </xdr:to>
    <xdr:graphicFrame macro="">
      <xdr:nvGraphicFramePr>
        <xdr:cNvPr id="959" name="95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299357</xdr:colOff>
      <xdr:row>2</xdr:row>
      <xdr:rowOff>2402</xdr:rowOff>
    </xdr:from>
    <xdr:to>
      <xdr:col>1</xdr:col>
      <xdr:colOff>1279071</xdr:colOff>
      <xdr:row>5</xdr:row>
      <xdr:rowOff>186538</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89857" y="410616"/>
          <a:ext cx="979714" cy="796458"/>
        </a:xfrm>
        <a:prstGeom prst="rect">
          <a:avLst/>
        </a:prstGeom>
        <a:noFill/>
        <a:ln w="9525">
          <a:noFill/>
          <a:miter lim="800000"/>
          <a:headEnd/>
          <a:tailEnd/>
        </a:ln>
      </xdr:spPr>
    </xdr:pic>
    <xdr:clientData/>
  </xdr:twoCellAnchor>
  <xdr:twoCellAnchor>
    <xdr:from>
      <xdr:col>1</xdr:col>
      <xdr:colOff>2203438</xdr:colOff>
      <xdr:row>1</xdr:row>
      <xdr:rowOff>103300</xdr:rowOff>
    </xdr:from>
    <xdr:to>
      <xdr:col>6</xdr:col>
      <xdr:colOff>639535</xdr:colOff>
      <xdr:row>6</xdr:row>
      <xdr:rowOff>36625</xdr:rowOff>
    </xdr:to>
    <xdr:sp macro="" textlink="">
      <xdr:nvSpPr>
        <xdr:cNvPr id="3" name="2 CuadroTexto"/>
        <xdr:cNvSpPr txBox="1"/>
      </xdr:nvSpPr>
      <xdr:spPr>
        <a:xfrm>
          <a:off x="2393938" y="303325"/>
          <a:ext cx="6618072"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xdr:col>
      <xdr:colOff>122464</xdr:colOff>
      <xdr:row>1</xdr:row>
      <xdr:rowOff>176893</xdr:rowOff>
    </xdr:from>
    <xdr:to>
      <xdr:col>7</xdr:col>
      <xdr:colOff>1319893</xdr:colOff>
      <xdr:row>6</xdr:row>
      <xdr:rowOff>108857</xdr:rowOff>
    </xdr:to>
    <xdr:pic>
      <xdr:nvPicPr>
        <xdr:cNvPr id="5" name="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89907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6403</xdr:colOff>
      <xdr:row>43</xdr:row>
      <xdr:rowOff>5122</xdr:rowOff>
    </xdr:from>
    <xdr:to>
      <xdr:col>19</xdr:col>
      <xdr:colOff>40020</xdr:colOff>
      <xdr:row>94</xdr:row>
      <xdr:rowOff>60832</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819150</xdr:colOff>
      <xdr:row>3</xdr:row>
      <xdr:rowOff>9525</xdr:rowOff>
    </xdr:from>
    <xdr:to>
      <xdr:col>1</xdr:col>
      <xdr:colOff>1562100</xdr:colOff>
      <xdr:row>8</xdr:row>
      <xdr:rowOff>57151</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076325" y="504825"/>
          <a:ext cx="742950" cy="857250"/>
        </a:xfrm>
        <a:prstGeom prst="rect">
          <a:avLst/>
        </a:prstGeom>
        <a:noFill/>
        <a:ln w="9525">
          <a:noFill/>
          <a:miter lim="800000"/>
          <a:headEnd/>
          <a:tailEnd/>
        </a:ln>
      </xdr:spPr>
    </xdr:pic>
    <xdr:clientData/>
  </xdr:twoCellAnchor>
  <xdr:twoCellAnchor>
    <xdr:from>
      <xdr:col>1</xdr:col>
      <xdr:colOff>2533650</xdr:colOff>
      <xdr:row>2</xdr:row>
      <xdr:rowOff>142875</xdr:rowOff>
    </xdr:from>
    <xdr:to>
      <xdr:col>6</xdr:col>
      <xdr:colOff>619532</xdr:colOff>
      <xdr:row>8</xdr:row>
      <xdr:rowOff>29470</xdr:rowOff>
    </xdr:to>
    <xdr:sp macro="" textlink="">
      <xdr:nvSpPr>
        <xdr:cNvPr id="6" name="5 CuadroTexto"/>
        <xdr:cNvSpPr txBox="1"/>
      </xdr:nvSpPr>
      <xdr:spPr>
        <a:xfrm>
          <a:off x="2790825" y="476250"/>
          <a:ext cx="4877207" cy="8581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xdr:from>
      <xdr:col>7</xdr:col>
      <xdr:colOff>323850</xdr:colOff>
      <xdr:row>3</xdr:row>
      <xdr:rowOff>123825</xdr:rowOff>
    </xdr:from>
    <xdr:to>
      <xdr:col>8</xdr:col>
      <xdr:colOff>642735</xdr:colOff>
      <xdr:row>8</xdr:row>
      <xdr:rowOff>18652</xdr:rowOff>
    </xdr:to>
    <xdr:pic>
      <xdr:nvPicPr>
        <xdr:cNvPr id="7"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9048750" y="704850"/>
          <a:ext cx="1080885" cy="847327"/>
        </a:xfrm>
        <a:prstGeom prst="rect">
          <a:avLst/>
        </a:prstGeom>
        <a:noFill/>
        <a:ln w="9525">
          <a:noFill/>
          <a:miter lim="800000"/>
          <a:headEnd/>
          <a:tailEnd/>
        </a:ln>
      </xdr:spPr>
    </xdr:pic>
    <xdr:clientData/>
  </xdr:twoCellAnchor>
  <xdr:twoCellAnchor editAs="oneCell">
    <xdr:from>
      <xdr:col>1</xdr:col>
      <xdr:colOff>638174</xdr:colOff>
      <xdr:row>40</xdr:row>
      <xdr:rowOff>112058</xdr:rowOff>
    </xdr:from>
    <xdr:to>
      <xdr:col>1</xdr:col>
      <xdr:colOff>1404326</xdr:colOff>
      <xdr:row>46</xdr:row>
      <xdr:rowOff>56029</xdr:rowOff>
    </xdr:to>
    <xdr:pic>
      <xdr:nvPicPr>
        <xdr:cNvPr id="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895909" y="6600264"/>
          <a:ext cx="766152" cy="885265"/>
        </a:xfrm>
        <a:prstGeom prst="rect">
          <a:avLst/>
        </a:prstGeom>
        <a:noFill/>
        <a:ln w="9525">
          <a:noFill/>
          <a:miter lim="800000"/>
          <a:headEnd/>
          <a:tailEnd/>
        </a:ln>
      </xdr:spPr>
    </xdr:pic>
    <xdr:clientData/>
  </xdr:twoCellAnchor>
  <xdr:twoCellAnchor>
    <xdr:from>
      <xdr:col>7</xdr:col>
      <xdr:colOff>193999</xdr:colOff>
      <xdr:row>41</xdr:row>
      <xdr:rowOff>80838</xdr:rowOff>
    </xdr:from>
    <xdr:to>
      <xdr:col>8</xdr:col>
      <xdr:colOff>512884</xdr:colOff>
      <xdr:row>45</xdr:row>
      <xdr:rowOff>166165</xdr:rowOff>
    </xdr:to>
    <xdr:pic>
      <xdr:nvPicPr>
        <xdr:cNvPr id="2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41</xdr:row>
      <xdr:rowOff>12212</xdr:rowOff>
    </xdr:from>
    <xdr:to>
      <xdr:col>7</xdr:col>
      <xdr:colOff>107381</xdr:colOff>
      <xdr:row>46</xdr:row>
      <xdr:rowOff>60732</xdr:rowOff>
    </xdr:to>
    <xdr:sp macro="" textlink="">
      <xdr:nvSpPr>
        <xdr:cNvPr id="27" name="26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79</xdr:row>
      <xdr:rowOff>152399</xdr:rowOff>
    </xdr:from>
    <xdr:to>
      <xdr:col>1</xdr:col>
      <xdr:colOff>1394801</xdr:colOff>
      <xdr:row>85</xdr:row>
      <xdr:rowOff>67235</xdr:rowOff>
    </xdr:to>
    <xdr:pic>
      <xdr:nvPicPr>
        <xdr:cNvPr id="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886384" y="13610664"/>
          <a:ext cx="766152" cy="856130"/>
        </a:xfrm>
        <a:prstGeom prst="rect">
          <a:avLst/>
        </a:prstGeom>
        <a:noFill/>
        <a:ln w="9525">
          <a:noFill/>
          <a:miter lim="800000"/>
          <a:headEnd/>
          <a:tailEnd/>
        </a:ln>
      </xdr:spPr>
    </xdr:pic>
    <xdr:clientData/>
  </xdr:twoCellAnchor>
  <xdr:twoCellAnchor>
    <xdr:from>
      <xdr:col>7</xdr:col>
      <xdr:colOff>193999</xdr:colOff>
      <xdr:row>80</xdr:row>
      <xdr:rowOff>80838</xdr:rowOff>
    </xdr:from>
    <xdr:to>
      <xdr:col>8</xdr:col>
      <xdr:colOff>512884</xdr:colOff>
      <xdr:row>84</xdr:row>
      <xdr:rowOff>166165</xdr:rowOff>
    </xdr:to>
    <xdr:pic>
      <xdr:nvPicPr>
        <xdr:cNvPr id="29"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80</xdr:row>
      <xdr:rowOff>12212</xdr:rowOff>
    </xdr:from>
    <xdr:to>
      <xdr:col>7</xdr:col>
      <xdr:colOff>107381</xdr:colOff>
      <xdr:row>85</xdr:row>
      <xdr:rowOff>60732</xdr:rowOff>
    </xdr:to>
    <xdr:sp macro="" textlink="">
      <xdr:nvSpPr>
        <xdr:cNvPr id="30" name="29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117</xdr:row>
      <xdr:rowOff>152399</xdr:rowOff>
    </xdr:from>
    <xdr:to>
      <xdr:col>1</xdr:col>
      <xdr:colOff>1394801</xdr:colOff>
      <xdr:row>124</xdr:row>
      <xdr:rowOff>38261</xdr:rowOff>
    </xdr:to>
    <xdr:pic>
      <xdr:nvPicPr>
        <xdr:cNvPr id="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33449" y="533399"/>
          <a:ext cx="766152" cy="1028862"/>
        </a:xfrm>
        <a:prstGeom prst="rect">
          <a:avLst/>
        </a:prstGeom>
        <a:noFill/>
        <a:ln w="9525">
          <a:noFill/>
          <a:miter lim="800000"/>
          <a:headEnd/>
          <a:tailEnd/>
        </a:ln>
      </xdr:spPr>
    </xdr:pic>
    <xdr:clientData/>
  </xdr:twoCellAnchor>
  <xdr:twoCellAnchor>
    <xdr:from>
      <xdr:col>7</xdr:col>
      <xdr:colOff>193999</xdr:colOff>
      <xdr:row>118</xdr:row>
      <xdr:rowOff>80838</xdr:rowOff>
    </xdr:from>
    <xdr:to>
      <xdr:col>8</xdr:col>
      <xdr:colOff>512884</xdr:colOff>
      <xdr:row>122</xdr:row>
      <xdr:rowOff>166165</xdr:rowOff>
    </xdr:to>
    <xdr:pic>
      <xdr:nvPicPr>
        <xdr:cNvPr id="32"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118</xdr:row>
      <xdr:rowOff>12212</xdr:rowOff>
    </xdr:from>
    <xdr:to>
      <xdr:col>7</xdr:col>
      <xdr:colOff>107381</xdr:colOff>
      <xdr:row>123</xdr:row>
      <xdr:rowOff>60732</xdr:rowOff>
    </xdr:to>
    <xdr:sp macro="" textlink="">
      <xdr:nvSpPr>
        <xdr:cNvPr id="33" name="32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628649</xdr:colOff>
      <xdr:row>2</xdr:row>
      <xdr:rowOff>152399</xdr:rowOff>
    </xdr:from>
    <xdr:to>
      <xdr:col>1</xdr:col>
      <xdr:colOff>1415143</xdr:colOff>
      <xdr:row>8</xdr:row>
      <xdr:rowOff>54428</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28006" y="492578"/>
          <a:ext cx="786494" cy="881743"/>
        </a:xfrm>
        <a:prstGeom prst="rect">
          <a:avLst/>
        </a:prstGeom>
        <a:noFill/>
        <a:ln w="9525">
          <a:noFill/>
          <a:miter lim="800000"/>
          <a:headEnd/>
          <a:tailEnd/>
        </a:ln>
      </xdr:spPr>
    </xdr:pic>
    <xdr:clientData/>
  </xdr:twoCellAnchor>
  <xdr:twoCellAnchor>
    <xdr:from>
      <xdr:col>9</xdr:col>
      <xdr:colOff>1012172</xdr:colOff>
      <xdr:row>3</xdr:row>
      <xdr:rowOff>68627</xdr:rowOff>
    </xdr:from>
    <xdr:to>
      <xdr:col>11</xdr:col>
      <xdr:colOff>183173</xdr:colOff>
      <xdr:row>7</xdr:row>
      <xdr:rowOff>153954</xdr:rowOff>
    </xdr:to>
    <xdr:pic>
      <xdr:nvPicPr>
        <xdr:cNvPr id="3"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2270722" y="640127"/>
          <a:ext cx="1142676" cy="875902"/>
        </a:xfrm>
        <a:prstGeom prst="rect">
          <a:avLst/>
        </a:prstGeom>
        <a:noFill/>
        <a:ln w="9525">
          <a:noFill/>
          <a:miter lim="800000"/>
          <a:headEnd/>
          <a:tailEnd/>
        </a:ln>
      </xdr:spPr>
    </xdr:pic>
    <xdr:clientData/>
  </xdr:twoCellAnchor>
  <xdr:twoCellAnchor>
    <xdr:from>
      <xdr:col>4</xdr:col>
      <xdr:colOff>632639</xdr:colOff>
      <xdr:row>2</xdr:row>
      <xdr:rowOff>164041</xdr:rowOff>
    </xdr:from>
    <xdr:to>
      <xdr:col>8</xdr:col>
      <xdr:colOff>876708</xdr:colOff>
      <xdr:row>8</xdr:row>
      <xdr:rowOff>97366</xdr:rowOff>
    </xdr:to>
    <xdr:sp macro="" textlink="">
      <xdr:nvSpPr>
        <xdr:cNvPr id="4" name="3 CuadroTexto"/>
        <xdr:cNvSpPr txBox="1"/>
      </xdr:nvSpPr>
      <xdr:spPr>
        <a:xfrm>
          <a:off x="6947714" y="545041"/>
          <a:ext cx="4111219"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23</xdr:row>
      <xdr:rowOff>152399</xdr:rowOff>
    </xdr:from>
    <xdr:to>
      <xdr:col>1</xdr:col>
      <xdr:colOff>1394801</xdr:colOff>
      <xdr:row>29</xdr:row>
      <xdr:rowOff>81643</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28006" y="4112078"/>
          <a:ext cx="766152" cy="908958"/>
        </a:xfrm>
        <a:prstGeom prst="rect">
          <a:avLst/>
        </a:prstGeom>
        <a:noFill/>
        <a:ln w="9525">
          <a:noFill/>
          <a:miter lim="800000"/>
          <a:headEnd/>
          <a:tailEnd/>
        </a:ln>
      </xdr:spPr>
    </xdr:pic>
    <xdr:clientData/>
  </xdr:twoCellAnchor>
  <xdr:twoCellAnchor>
    <xdr:from>
      <xdr:col>9</xdr:col>
      <xdr:colOff>839467</xdr:colOff>
      <xdr:row>24</xdr:row>
      <xdr:rowOff>54670</xdr:rowOff>
    </xdr:from>
    <xdr:to>
      <xdr:col>11</xdr:col>
      <xdr:colOff>20935</xdr:colOff>
      <xdr:row>28</xdr:row>
      <xdr:rowOff>143486</xdr:rowOff>
    </xdr:to>
    <xdr:pic>
      <xdr:nvPicPr>
        <xdr:cNvPr id="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1583667" y="626170"/>
          <a:ext cx="1153143" cy="879391"/>
        </a:xfrm>
        <a:prstGeom prst="rect">
          <a:avLst/>
        </a:prstGeom>
        <a:noFill/>
        <a:ln w="9525">
          <a:noFill/>
          <a:miter lim="800000"/>
          <a:headEnd/>
          <a:tailEnd/>
        </a:ln>
      </xdr:spPr>
    </xdr:pic>
    <xdr:clientData/>
  </xdr:twoCellAnchor>
  <xdr:twoCellAnchor>
    <xdr:from>
      <xdr:col>2</xdr:col>
      <xdr:colOff>2724301</xdr:colOff>
      <xdr:row>24</xdr:row>
      <xdr:rowOff>17502</xdr:rowOff>
    </xdr:from>
    <xdr:to>
      <xdr:col>6</xdr:col>
      <xdr:colOff>899385</xdr:colOff>
      <xdr:row>29</xdr:row>
      <xdr:rowOff>139234</xdr:rowOff>
    </xdr:to>
    <xdr:sp macro="" textlink="">
      <xdr:nvSpPr>
        <xdr:cNvPr id="7" name="6 CuadroTexto"/>
        <xdr:cNvSpPr txBox="1"/>
      </xdr:nvSpPr>
      <xdr:spPr>
        <a:xfrm>
          <a:off x="4743601" y="589002"/>
          <a:ext cx="3928184" cy="11123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628648</xdr:colOff>
      <xdr:row>2</xdr:row>
      <xdr:rowOff>152399</xdr:rowOff>
    </xdr:from>
    <xdr:to>
      <xdr:col>1</xdr:col>
      <xdr:colOff>1390649</xdr:colOff>
      <xdr:row>8</xdr:row>
      <xdr:rowOff>0</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33448" y="485774"/>
          <a:ext cx="762001" cy="819151"/>
        </a:xfrm>
        <a:prstGeom prst="rect">
          <a:avLst/>
        </a:prstGeom>
        <a:noFill/>
        <a:ln w="9525">
          <a:noFill/>
          <a:miter lim="800000"/>
          <a:headEnd/>
          <a:tailEnd/>
        </a:ln>
      </xdr:spPr>
    </xdr:pic>
    <xdr:clientData/>
  </xdr:twoCellAnchor>
  <xdr:twoCellAnchor>
    <xdr:from>
      <xdr:col>9</xdr:col>
      <xdr:colOff>267268</xdr:colOff>
      <xdr:row>3</xdr:row>
      <xdr:rowOff>7325</xdr:rowOff>
    </xdr:from>
    <xdr:to>
      <xdr:col>10</xdr:col>
      <xdr:colOff>586154</xdr:colOff>
      <xdr:row>7</xdr:row>
      <xdr:rowOff>92652</xdr:rowOff>
    </xdr:to>
    <xdr:pic>
      <xdr:nvPicPr>
        <xdr:cNvPr id="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3554643" y="578825"/>
          <a:ext cx="1147561" cy="875902"/>
        </a:xfrm>
        <a:prstGeom prst="rect">
          <a:avLst/>
        </a:prstGeom>
        <a:noFill/>
        <a:ln w="9525">
          <a:noFill/>
          <a:miter lim="800000"/>
          <a:headEnd/>
          <a:tailEnd/>
        </a:ln>
      </xdr:spPr>
    </xdr:pic>
    <xdr:clientData/>
  </xdr:twoCellAnchor>
  <xdr:twoCellAnchor>
    <xdr:from>
      <xdr:col>2</xdr:col>
      <xdr:colOff>3160427</xdr:colOff>
      <xdr:row>2</xdr:row>
      <xdr:rowOff>176253</xdr:rowOff>
    </xdr:from>
    <xdr:to>
      <xdr:col>6</xdr:col>
      <xdr:colOff>58533</xdr:colOff>
      <xdr:row>8</xdr:row>
      <xdr:rowOff>109578</xdr:rowOff>
    </xdr:to>
    <xdr:sp macro="" textlink="">
      <xdr:nvSpPr>
        <xdr:cNvPr id="7" name="6 CuadroTexto"/>
        <xdr:cNvSpPr txBox="1"/>
      </xdr:nvSpPr>
      <xdr:spPr>
        <a:xfrm>
          <a:off x="5217827" y="557253"/>
          <a:ext cx="4975306"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PEC/imprimir/Ajustado_Modelo_de_costos_INPEC_10_01_201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RECCION%20TECNICA%20ICBF/Archivos%20FONADE/COSTEO%20DIAGNOSTIC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iego.quintanilla/Escritorio/Jardines%20Sociales/Estudio%20de%20Costos%20Jardines%20Socia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rgbog90\d\DOCUME~1\J0ZAMB~1\CONFIG~1\Temp\PP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Huber.Garcia/Mis%20documentos/Datos/Rafa/PLANTA-2008/AMPLIACION%20PLANTA/DATOS_COSTOS-SUPERNUMERARIOS-401_CUPOS-19-08-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diego.quintanilla/Escritorio/ICBF/Direcci&#243;n%20de%20Logistica%20y%20Abastecimiento/Consultoria%20Bienestarina/CONSULTORIA%20BIENESTARINA%2031-07-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diego.quintanilla/Escritorio/ICBF/Direcci&#243;n%20de%20Logistica%20y%20Abastecimiento/Encuesta%20Nacional%20de%20Juventud/E.C.%20Encuesta%20Nacional%20de%20Juventu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diego.quintanilla/Configuraci&#243;n%20local/Archivos%20temporales%20de%20Internet/Content.Outlook/Y3XOUI2P/Revisado_Edilberto_Desayunos_Infantiles_con_Amor_Nov_26_201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cell r="E6">
            <v>2233354</v>
          </cell>
        </row>
        <row r="7">
          <cell r="B7" t="str">
            <v>Directivo 2</v>
          </cell>
          <cell r="E7">
            <v>2497580</v>
          </cell>
        </row>
        <row r="8">
          <cell r="B8" t="str">
            <v>Directivo 3</v>
          </cell>
          <cell r="E8">
            <v>2637233</v>
          </cell>
        </row>
        <row r="9">
          <cell r="B9" t="str">
            <v>Directivo 4</v>
          </cell>
          <cell r="E9">
            <v>2803049</v>
          </cell>
        </row>
        <row r="10">
          <cell r="B10" t="str">
            <v>Directivo 5</v>
          </cell>
          <cell r="E10">
            <v>2875180</v>
          </cell>
        </row>
        <row r="11">
          <cell r="B11" t="str">
            <v>Directivo 6</v>
          </cell>
          <cell r="E11">
            <v>3002689</v>
          </cell>
        </row>
        <row r="12">
          <cell r="B12" t="str">
            <v>Directivo 7</v>
          </cell>
          <cell r="E12">
            <v>3182234</v>
          </cell>
        </row>
        <row r="13">
          <cell r="B13" t="str">
            <v>Directivo 8</v>
          </cell>
          <cell r="E13">
            <v>3252416</v>
          </cell>
        </row>
        <row r="14">
          <cell r="B14" t="str">
            <v>Directivo 9</v>
          </cell>
          <cell r="E14">
            <v>3372970</v>
          </cell>
        </row>
        <row r="15">
          <cell r="B15" t="str">
            <v>Directivo 10</v>
          </cell>
          <cell r="E15">
            <v>3623537</v>
          </cell>
        </row>
        <row r="16">
          <cell r="B16" t="str">
            <v>Directivo 11</v>
          </cell>
          <cell r="E16">
            <v>3679737</v>
          </cell>
        </row>
        <row r="17">
          <cell r="B17" t="str">
            <v>Directivo 12</v>
          </cell>
          <cell r="E17">
            <v>3795848</v>
          </cell>
        </row>
        <row r="18">
          <cell r="B18" t="str">
            <v>Directivo 13</v>
          </cell>
          <cell r="E18">
            <v>3960173</v>
          </cell>
        </row>
        <row r="19">
          <cell r="B19" t="str">
            <v>Directivo 14</v>
          </cell>
          <cell r="E19">
            <v>4260338</v>
          </cell>
        </row>
        <row r="20">
          <cell r="B20" t="str">
            <v>Directivo 15</v>
          </cell>
          <cell r="E20">
            <v>4319249</v>
          </cell>
        </row>
        <row r="21">
          <cell r="B21" t="str">
            <v>Directivo 16</v>
          </cell>
          <cell r="E21">
            <v>4555421</v>
          </cell>
        </row>
        <row r="22">
          <cell r="B22" t="str">
            <v>Directivo 17</v>
          </cell>
          <cell r="E22">
            <v>4933677</v>
          </cell>
        </row>
        <row r="23">
          <cell r="B23" t="str">
            <v>Directivo 18</v>
          </cell>
          <cell r="E23">
            <v>5312782</v>
          </cell>
        </row>
        <row r="24">
          <cell r="B24" t="str">
            <v>Directivo 19</v>
          </cell>
          <cell r="E24">
            <v>5842185</v>
          </cell>
        </row>
        <row r="25">
          <cell r="B25" t="str">
            <v>Directivo 20</v>
          </cell>
          <cell r="E25">
            <v>5922203</v>
          </cell>
        </row>
        <row r="26">
          <cell r="B26" t="str">
            <v>Directivo 21</v>
          </cell>
          <cell r="E26">
            <v>6553250</v>
          </cell>
        </row>
        <row r="27">
          <cell r="B27" t="str">
            <v>Directivo 22</v>
          </cell>
          <cell r="E27">
            <v>7197704</v>
          </cell>
        </row>
        <row r="28">
          <cell r="B28" t="str">
            <v>Directivo 23</v>
          </cell>
          <cell r="E28">
            <v>7766751</v>
          </cell>
        </row>
        <row r="29">
          <cell r="B29" t="str">
            <v>Directivo 24</v>
          </cell>
          <cell r="E29">
            <v>8374274</v>
          </cell>
        </row>
        <row r="30">
          <cell r="B30" t="str">
            <v>Directivo 25</v>
          </cell>
          <cell r="E30">
            <v>8809736</v>
          </cell>
        </row>
        <row r="31">
          <cell r="B31" t="str">
            <v>Directivo 26</v>
          </cell>
          <cell r="E31">
            <v>9246513</v>
          </cell>
        </row>
        <row r="32">
          <cell r="B32" t="str">
            <v>Directivo 27</v>
          </cell>
          <cell r="E32">
            <v>9761707</v>
          </cell>
        </row>
        <row r="33">
          <cell r="B33" t="str">
            <v>asesor 1</v>
          </cell>
          <cell r="E33">
            <v>2179619</v>
          </cell>
        </row>
        <row r="34">
          <cell r="B34" t="str">
            <v>asesor 2</v>
          </cell>
          <cell r="E34">
            <v>2357013</v>
          </cell>
        </row>
        <row r="35">
          <cell r="B35" t="str">
            <v>asesor 3</v>
          </cell>
          <cell r="E35">
            <v>2572258</v>
          </cell>
        </row>
        <row r="36">
          <cell r="B36" t="str">
            <v>asesor 4</v>
          </cell>
          <cell r="E36">
            <v>2927532</v>
          </cell>
        </row>
        <row r="37">
          <cell r="B37" t="str">
            <v>asesor 5</v>
          </cell>
          <cell r="E37">
            <v>3002689</v>
          </cell>
        </row>
        <row r="38">
          <cell r="B38" t="str">
            <v>asesor 6</v>
          </cell>
          <cell r="E38">
            <v>3399927</v>
          </cell>
        </row>
        <row r="39">
          <cell r="B39" t="str">
            <v>asesor 7</v>
          </cell>
          <cell r="E39">
            <v>3795848</v>
          </cell>
        </row>
        <row r="40">
          <cell r="B40" t="str">
            <v>asesor 8</v>
          </cell>
          <cell r="E40">
            <v>4154020</v>
          </cell>
        </row>
        <row r="41">
          <cell r="B41" t="str">
            <v>asesor 9</v>
          </cell>
          <cell r="E41">
            <v>4365588</v>
          </cell>
        </row>
        <row r="42">
          <cell r="B42" t="str">
            <v>asesor 10</v>
          </cell>
          <cell r="E42">
            <v>4539658</v>
          </cell>
        </row>
        <row r="43">
          <cell r="B43" t="str">
            <v>asesor 11</v>
          </cell>
          <cell r="E43">
            <v>4773304</v>
          </cell>
        </row>
        <row r="44">
          <cell r="B44" t="str">
            <v>asesor 12</v>
          </cell>
          <cell r="E44">
            <v>5013419</v>
          </cell>
        </row>
        <row r="45">
          <cell r="B45" t="str">
            <v>asesor 13</v>
          </cell>
          <cell r="E45">
            <v>5496701</v>
          </cell>
        </row>
        <row r="46">
          <cell r="B46" t="str">
            <v>asesor 14</v>
          </cell>
          <cell r="E46">
            <v>5802065</v>
          </cell>
        </row>
        <row r="47">
          <cell r="B47" t="str">
            <v>asesor 15</v>
          </cell>
          <cell r="E47">
            <v>5921433</v>
          </cell>
        </row>
        <row r="48">
          <cell r="B48" t="str">
            <v>asesor 16</v>
          </cell>
          <cell r="E48">
            <v>6506604</v>
          </cell>
        </row>
        <row r="49">
          <cell r="B49" t="str">
            <v>asesor 17</v>
          </cell>
          <cell r="E49">
            <v>7188672</v>
          </cell>
        </row>
        <row r="50">
          <cell r="B50" t="str">
            <v>asesor 18</v>
          </cell>
          <cell r="E50">
            <v>7802839</v>
          </cell>
        </row>
        <row r="51">
          <cell r="B51" t="str">
            <v>profesional  1</v>
          </cell>
          <cell r="E51">
            <v>1315939</v>
          </cell>
        </row>
        <row r="52">
          <cell r="B52" t="str">
            <v>profesional  2</v>
          </cell>
          <cell r="E52">
            <v>1454601</v>
          </cell>
        </row>
        <row r="53">
          <cell r="B53" t="str">
            <v>profesional  3</v>
          </cell>
          <cell r="E53">
            <v>1520238</v>
          </cell>
        </row>
        <row r="54">
          <cell r="B54" t="str">
            <v>profesional  4</v>
          </cell>
          <cell r="E54">
            <v>1600782</v>
          </cell>
        </row>
        <row r="55">
          <cell r="B55" t="str">
            <v>profesional  5</v>
          </cell>
          <cell r="E55">
            <v>1693321</v>
          </cell>
        </row>
        <row r="56">
          <cell r="B56" t="str">
            <v>profesional  6</v>
          </cell>
          <cell r="E56">
            <v>1752286</v>
          </cell>
        </row>
        <row r="57">
          <cell r="B57" t="str">
            <v>profesional  7</v>
          </cell>
          <cell r="E57">
            <v>1839033</v>
          </cell>
        </row>
        <row r="58">
          <cell r="B58" t="str">
            <v>profesional  8</v>
          </cell>
          <cell r="E58">
            <v>1930469</v>
          </cell>
        </row>
        <row r="59">
          <cell r="B59" t="str">
            <v>profesional  9</v>
          </cell>
          <cell r="E59">
            <v>2013569</v>
          </cell>
        </row>
        <row r="60">
          <cell r="B60" t="str">
            <v>profesional  10</v>
          </cell>
          <cell r="E60">
            <v>2082275</v>
          </cell>
        </row>
        <row r="61">
          <cell r="B61" t="str">
            <v>profesional  11</v>
          </cell>
          <cell r="E61">
            <v>2169943</v>
          </cell>
        </row>
        <row r="62">
          <cell r="B62" t="str">
            <v>profesional  12</v>
          </cell>
          <cell r="E62">
            <v>2302196</v>
          </cell>
        </row>
        <row r="63">
          <cell r="B63" t="str">
            <v>profesional  13</v>
          </cell>
          <cell r="E63">
            <v>2494331</v>
          </cell>
        </row>
        <row r="64">
          <cell r="B64" t="str">
            <v>profesional  14</v>
          </cell>
          <cell r="E64">
            <v>2669283</v>
          </cell>
        </row>
        <row r="65">
          <cell r="B65" t="str">
            <v>profesional  15</v>
          </cell>
          <cell r="E65">
            <v>2951171</v>
          </cell>
        </row>
        <row r="66">
          <cell r="B66" t="str">
            <v>profesional  16</v>
          </cell>
          <cell r="E66">
            <v>3181780</v>
          </cell>
        </row>
        <row r="67">
          <cell r="B67" t="str">
            <v>profesional  17</v>
          </cell>
          <cell r="E67">
            <v>3346665</v>
          </cell>
        </row>
        <row r="68">
          <cell r="B68" t="str">
            <v>profesional  18</v>
          </cell>
          <cell r="E68">
            <v>3604191</v>
          </cell>
        </row>
        <row r="69">
          <cell r="B69" t="str">
            <v>profesional  19</v>
          </cell>
          <cell r="E69">
            <v>3876862</v>
          </cell>
        </row>
        <row r="70">
          <cell r="B70" t="str">
            <v>profesional  20</v>
          </cell>
          <cell r="E70">
            <v>4173350</v>
          </cell>
        </row>
        <row r="71">
          <cell r="B71" t="str">
            <v>profesional  21</v>
          </cell>
          <cell r="E71">
            <v>4448103</v>
          </cell>
        </row>
        <row r="72">
          <cell r="B72" t="str">
            <v>profesional  22</v>
          </cell>
          <cell r="E72">
            <v>4784075</v>
          </cell>
        </row>
        <row r="73">
          <cell r="B73" t="str">
            <v>profesional  23</v>
          </cell>
          <cell r="E73">
            <v>5054940</v>
          </cell>
        </row>
        <row r="74">
          <cell r="B74" t="str">
            <v>profesional  24</v>
          </cell>
          <cell r="E74">
            <v>5450909</v>
          </cell>
        </row>
        <row r="75">
          <cell r="B75" t="str">
            <v>tecnico 1</v>
          </cell>
          <cell r="E75">
            <v>566700</v>
          </cell>
        </row>
        <row r="76">
          <cell r="B76" t="str">
            <v>tecnico  2</v>
          </cell>
          <cell r="E76">
            <v>613926</v>
          </cell>
        </row>
        <row r="77">
          <cell r="B77" t="str">
            <v>tecnico  3</v>
          </cell>
          <cell r="E77">
            <v>689588</v>
          </cell>
        </row>
        <row r="78">
          <cell r="B78" t="str">
            <v>tecnico  4</v>
          </cell>
          <cell r="E78">
            <v>730670</v>
          </cell>
        </row>
        <row r="79">
          <cell r="B79" t="str">
            <v>tecnico  5</v>
          </cell>
          <cell r="E79">
            <v>777282</v>
          </cell>
        </row>
        <row r="80">
          <cell r="B80" t="str">
            <v>tecnico  6</v>
          </cell>
          <cell r="E80">
            <v>935516</v>
          </cell>
        </row>
        <row r="81">
          <cell r="B81" t="str">
            <v>tecnico  7</v>
          </cell>
          <cell r="E81">
            <v>996878</v>
          </cell>
        </row>
        <row r="82">
          <cell r="B82" t="str">
            <v>tecnico  8</v>
          </cell>
          <cell r="E82">
            <v>1022146</v>
          </cell>
        </row>
        <row r="83">
          <cell r="B83" t="str">
            <v>tecnico  9</v>
          </cell>
          <cell r="E83">
            <v>1124891</v>
          </cell>
        </row>
        <row r="84">
          <cell r="B84" t="str">
            <v>tecnico  10</v>
          </cell>
          <cell r="E84">
            <v>1177140</v>
          </cell>
        </row>
        <row r="85">
          <cell r="B85" t="str">
            <v>tecnico  11</v>
          </cell>
          <cell r="E85">
            <v>1240971</v>
          </cell>
        </row>
        <row r="86">
          <cell r="B86" t="str">
            <v>tecnico  12</v>
          </cell>
          <cell r="E86">
            <v>1315939</v>
          </cell>
        </row>
        <row r="87">
          <cell r="B87" t="str">
            <v>tecnico  13</v>
          </cell>
          <cell r="E87">
            <v>1403343</v>
          </cell>
        </row>
        <row r="88">
          <cell r="B88" t="str">
            <v>tecnico  14</v>
          </cell>
          <cell r="E88">
            <v>1454601</v>
          </cell>
        </row>
        <row r="89">
          <cell r="B89" t="str">
            <v>tecnico  15</v>
          </cell>
          <cell r="E89">
            <v>1520238</v>
          </cell>
        </row>
        <row r="90">
          <cell r="B90" t="str">
            <v>tecnico  16</v>
          </cell>
          <cell r="E90">
            <v>1717662</v>
          </cell>
        </row>
        <row r="91">
          <cell r="B91" t="str">
            <v>tecnico  17</v>
          </cell>
          <cell r="E91">
            <v>1838799</v>
          </cell>
        </row>
        <row r="92">
          <cell r="B92" t="str">
            <v>tecnico  18</v>
          </cell>
          <cell r="E92">
            <v>2020686</v>
          </cell>
        </row>
        <row r="93">
          <cell r="B93" t="str">
            <v>asistencial  1</v>
          </cell>
          <cell r="E93">
            <v>566700</v>
          </cell>
        </row>
        <row r="94">
          <cell r="B94" t="str">
            <v>asistencial  2</v>
          </cell>
        </row>
        <row r="95">
          <cell r="B95" t="str">
            <v>asistencial  3</v>
          </cell>
        </row>
        <row r="96">
          <cell r="B96" t="str">
            <v>asistencial  4</v>
          </cell>
        </row>
        <row r="97">
          <cell r="B97" t="str">
            <v>asistencial  5</v>
          </cell>
        </row>
        <row r="98">
          <cell r="B98" t="str">
            <v>asistencial  6</v>
          </cell>
        </row>
        <row r="99">
          <cell r="B99" t="str">
            <v>asistencial  7</v>
          </cell>
        </row>
        <row r="100">
          <cell r="B100" t="str">
            <v>asistencial  8</v>
          </cell>
        </row>
        <row r="101">
          <cell r="B101" t="str">
            <v>asistencial  9</v>
          </cell>
        </row>
        <row r="102">
          <cell r="B102" t="str">
            <v>asistencial  10</v>
          </cell>
        </row>
        <row r="103">
          <cell r="B103" t="str">
            <v>asistencial  11</v>
          </cell>
        </row>
        <row r="104">
          <cell r="B104" t="str">
            <v>asistencial  12</v>
          </cell>
        </row>
        <row r="105">
          <cell r="B105" t="str">
            <v>asistencial  13</v>
          </cell>
        </row>
        <row r="106">
          <cell r="B106" t="str">
            <v>asistencial  14</v>
          </cell>
        </row>
        <row r="107">
          <cell r="B107" t="str">
            <v>asistencial  15</v>
          </cell>
        </row>
        <row r="108">
          <cell r="B108" t="str">
            <v>asistencial  16</v>
          </cell>
        </row>
        <row r="109">
          <cell r="B109" t="str">
            <v>asistencial  17</v>
          </cell>
        </row>
        <row r="110">
          <cell r="B110" t="str">
            <v>asistencial  18</v>
          </cell>
        </row>
        <row r="111">
          <cell r="B111" t="str">
            <v>asistencial  19</v>
          </cell>
        </row>
        <row r="112">
          <cell r="B112" t="str">
            <v>asistencial  20</v>
          </cell>
        </row>
        <row r="113">
          <cell r="B113" t="str">
            <v>asistencial  21</v>
          </cell>
        </row>
        <row r="114">
          <cell r="B114" t="str">
            <v>asistencial  22</v>
          </cell>
        </row>
        <row r="115">
          <cell r="B115" t="str">
            <v>asistencial  23</v>
          </cell>
        </row>
        <row r="116">
          <cell r="B116" t="str">
            <v>asistencial  24</v>
          </cell>
        </row>
        <row r="117">
          <cell r="B117" t="str">
            <v>asistencial  25</v>
          </cell>
        </row>
        <row r="118">
          <cell r="B118" t="str">
            <v>asistencial  26</v>
          </cell>
        </row>
        <row r="119">
          <cell r="B119" t="str">
            <v>Internos</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oja índice"/>
      <sheetName val="Tal Humano"/>
      <sheetName val="JS Seguimiento Evaluación"/>
      <sheetName val="Resumen de Costos"/>
      <sheetName val="tabla de Viaticos"/>
      <sheetName val="Cotización tiq Aereos"/>
    </sheetNames>
    <sheetDataSet>
      <sheetData sheetId="0"/>
      <sheetData sheetId="1">
        <row r="10">
          <cell r="B10" t="str">
            <v>Supervisores</v>
          </cell>
        </row>
      </sheetData>
      <sheetData sheetId="2"/>
      <sheetData sheetId="3">
        <row r="9">
          <cell r="H9">
            <v>178802722.29566669</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rmFuncionario"/>
      <sheetName val="ActividadRE"/>
      <sheetName val="DeseanCapacitacionEn"/>
      <sheetName val="Empresa"/>
      <sheetName val="EstadoMadCabFamilia"/>
      <sheetName val="Funcionario"/>
      <sheetName val="GruporUPS"/>
      <sheetName val="Indemnizacion"/>
      <sheetName val="InfLaboral"/>
      <sheetName val="LimitacionAuditiva"/>
      <sheetName val="LimitacionFisicaOMental"/>
      <sheetName val="LimitacionVisual"/>
      <sheetName val="MadreCabezaFamilia"/>
      <sheetName val="NivelEducacionBasica"/>
      <sheetName val="NivelEducacionSuperior"/>
      <sheetName val="PagoRE"/>
      <sheetName val="PMCL"/>
      <sheetName val="ProximoPension"/>
      <sheetName val="RECapacitacion"/>
      <sheetName val="REContPrivada"/>
      <sheetName val="Seguimiento"/>
      <sheetName val="TipoEmpres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Planta_Super"/>
      <sheetName val="Planta_Super (2)"/>
      <sheetName val="Costo_401-Final-Año"/>
      <sheetName val="Costo_Final-14-10-09"/>
      <sheetName val="Resm-22-10-09"/>
      <sheetName val="Hoja17"/>
      <sheetName val="11-08-2009"/>
      <sheetName val="Costo_Final-Fase V"/>
      <sheetName val="Costo_Final-Fase VI"/>
      <sheetName val="Costo_Final-Asap_3-GRA-2 Y 5"/>
      <sheetName val="RESM_Costo-Supern-26-05-09"/>
      <sheetName val="RESM_Costo-Supern (4)"/>
      <sheetName val="RESM_Costo-Supern"/>
      <sheetName val="RESM_Costo-Supern (2)"/>
      <sheetName val="RESM_Costo-Supern (3)"/>
      <sheetName val="Costo_Final-Año-714"/>
      <sheetName val="Fase V_VI-Grad-15"/>
      <sheetName val="Fase V_VI-Grad-13-5"/>
      <sheetName val="Vlr_traslado-4-05-09"/>
      <sheetName val="DATOS-ESC-2-VAC-295_05-09"/>
      <sheetName val="RESM_COSTOS_ESC-1"/>
      <sheetName val="RESM_COSTOS_ESC-2"/>
      <sheetName val="COSTO_ASAP"/>
      <sheetName val="Incrementos_Salarial"/>
      <sheetName val="Historico-Supern"/>
      <sheetName val="Costo_Final-Seis Meses"/>
      <sheetName val="Costo_Final-Mes"/>
      <sheetName val="Costo_Final-Año"/>
      <sheetName val="Hoja6"/>
      <sheetName val="Hoja3"/>
      <sheetName val="Resm Cupo"/>
      <sheetName val="Resm Cupo (2)"/>
      <sheetName val="Hoja4"/>
      <sheetName val="Hoja2"/>
      <sheetName val="Equi-Psico-Costos-23-10-09"/>
      <sheetName val="Hoja7"/>
      <sheetName val="Hoja1"/>
      <sheetName val="Hoja8"/>
      <sheetName val="Hoja12"/>
      <sheetName val="Datos-seis M"/>
      <sheetName val="Hoja13"/>
      <sheetName val="20-01-2010"/>
      <sheetName val="Hoja11"/>
      <sheetName val="Hoja10"/>
      <sheetName val="Hoja14"/>
      <sheetName val="Hoja15"/>
      <sheetName val="Hoja9"/>
      <sheetName val="Resm_Dtos-Just-Vig_Fut-2010"/>
      <sheetName val="Hoja16 (2)"/>
      <sheetName val="Hoja7 (2)"/>
      <sheetName val="D_FAMILIA-244-30-DIAS"/>
      <sheetName val="Costo_Final-7-12-09"/>
      <sheetName val="Hoja16"/>
      <sheetName val="Hoja5"/>
      <sheetName val="Hoja18"/>
      <sheetName val="Hoja18 (2)"/>
      <sheetName val="Costo-Super-Proy140-23-03-2010"/>
      <sheetName val="Costo-Super-Sede Nal-23-03-10"/>
      <sheetName val="Resm-23-03-10"/>
      <sheetName val="Hoja22"/>
      <sheetName val="2-07-2010"/>
      <sheetName val="Costo_Nomina_30-06-10-Super"/>
      <sheetName val="Hoja23"/>
      <sheetName val="Hoja21"/>
      <sheetName val="Costo_Nomina_30-09-10-Super"/>
      <sheetName val="Hoja9 (2)"/>
      <sheetName val="Hoja9 (3)"/>
      <sheetName val="Traslados-Super-2010"/>
      <sheetName val="Hoja19"/>
      <sheetName val="Hoja20"/>
      <sheetName val="Hoja24"/>
      <sheetName val="Costo_Nomina_31-12-10-Super"/>
      <sheetName val="PROGRA-PAC-NOV-10"/>
      <sheetName val="Traslados-Super-2010-10-19"/>
      <sheetName val="2011"/>
      <sheetName val="Costos-325-2011"/>
      <sheetName val="Hoja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Hoja índice"/>
      <sheetName val="Tal Humano"/>
      <sheetName val="Resumen de Costos"/>
      <sheetName val="tabla de Viaticos"/>
      <sheetName val="Cotización tiq Aereos"/>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Hoja índice"/>
      <sheetName val="Indices empleados y Parametros"/>
      <sheetName val="RESUMEN "/>
      <sheetName val="Logistica Integral"/>
      <sheetName val="Logistica No Integral"/>
      <sheetName val="Impuestos y comisiones"/>
      <sheetName val="Cantidades y Ctos Prod Totales"/>
      <sheetName val="Tot_Frecuencias x Ciclo-Leche "/>
      <sheetName val="Total lacteo_galletas_bienest_A"/>
      <sheetName val="Calculo und regionalizado_A"/>
      <sheetName val="Frecuencia Lacteos "/>
      <sheetName val="Tot_Frecuencias x Ciclo-Acompañ"/>
      <sheetName val="Frecuencia Acompañante"/>
      <sheetName val="Costos Unitarios Acompañante"/>
      <sheetName val="Materiales_Acompañantes"/>
      <sheetName val="Formulacion_Prod_Acompañan"/>
      <sheetName val="Costos Unitarios Lacteos"/>
      <sheetName val="Materiales Productos Lacteos"/>
      <sheetName val="Formulacion_Productos_Lacteos"/>
      <sheetName val="Macros y Cobertura"/>
      <sheetName val="Cobertura"/>
      <sheetName val="FT_26_Nov_2012"/>
      <sheetName val="Los precios Leche --&gt;"/>
      <sheetName val="Precios historicos Leche-MADR"/>
      <sheetName val="Proyección valor Lacteo MADR"/>
      <sheetName val="Fuente negociac. y new prod--&gt;"/>
      <sheetName val="NEGO 1er SEM 2012"/>
      <sheetName val="NEGO 1ro y 2do Sem x Dpto"/>
      <sheetName val="Formulacion New productos"/>
      <sheetName val="COSTO COMISIÓN "/>
      <sheetName val="Con BMC--&gt;"/>
      <sheetName val="Logistica CON_BMC"/>
      <sheetName val="Productos CON_BMC "/>
      <sheetName val="Con 650 benef --&gt;"/>
      <sheetName val="Total lacteo_galletas_bienest_B"/>
      <sheetName val="Calculo und regionalizado_B"/>
      <sheetName val="Estados financieros --&gt;"/>
      <sheetName val="An Financ E.S."/>
      <sheetName val="Cotizaciones_Logistica"/>
      <sheetName val="Proyecto plie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hyperlink" Target="tel:3103301760" TargetMode="External"/><Relationship Id="rId2" Type="http://schemas.openxmlformats.org/officeDocument/2006/relationships/hyperlink" Target="tel:3103301760" TargetMode="External"/><Relationship Id="rId1" Type="http://schemas.openxmlformats.org/officeDocument/2006/relationships/hyperlink" Target="tel:3759300" TargetMode="External"/><Relationship Id="rId4"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omments" Target="../comments1.xml"/><Relationship Id="rId9"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tASAPSheetIndex">
    <tabColor theme="4"/>
  </sheetPr>
  <dimension ref="A1:J45"/>
  <sheetViews>
    <sheetView showGridLines="0" workbookViewId="0"/>
  </sheetViews>
  <sheetFormatPr baseColWidth="10" defaultColWidth="0" defaultRowHeight="21.75" customHeight="1" zeroHeight="1"/>
  <cols>
    <col min="1" max="1" width="1.42578125" style="626" customWidth="1"/>
    <col min="2" max="2" width="3.7109375" style="626" customWidth="1"/>
    <col min="3" max="3" width="26.85546875" style="626" bestFit="1" customWidth="1"/>
    <col min="4" max="6" width="11.42578125" style="626" customWidth="1"/>
    <col min="7" max="7" width="5" style="626" customWidth="1"/>
    <col min="8" max="8" width="18.140625" style="626" customWidth="1"/>
    <col min="9" max="9" width="2.85546875" style="626" customWidth="1"/>
    <col min="10" max="10" width="1.140625" style="626" customWidth="1"/>
    <col min="11" max="16384" width="11.42578125" style="626" hidden="1"/>
  </cols>
  <sheetData>
    <row r="1" spans="2:9" ht="9" customHeight="1" thickBot="1"/>
    <row r="2" spans="2:9" ht="15.75" customHeight="1" thickBot="1">
      <c r="B2" s="862"/>
      <c r="C2" s="863"/>
      <c r="D2" s="863"/>
      <c r="E2" s="863"/>
      <c r="F2" s="863"/>
      <c r="G2" s="863"/>
      <c r="H2" s="863"/>
      <c r="I2" s="864"/>
    </row>
    <row r="3" spans="2:9" ht="21.75" customHeight="1">
      <c r="B3" s="865"/>
      <c r="C3" s="1" t="s">
        <v>1585</v>
      </c>
      <c r="D3" s="1155"/>
      <c r="E3" s="1155"/>
      <c r="F3" s="1155"/>
      <c r="G3" s="1155"/>
      <c r="H3" s="1156"/>
      <c r="I3" s="866"/>
    </row>
    <row r="4" spans="2:9" ht="21.75" customHeight="1" thickBot="1">
      <c r="B4" s="865"/>
      <c r="C4" s="1157"/>
      <c r="D4" s="1158"/>
      <c r="E4" s="1158"/>
      <c r="F4" s="1158"/>
      <c r="G4" s="1158"/>
      <c r="H4" s="1159"/>
      <c r="I4" s="866"/>
    </row>
    <row r="5" spans="2:9" ht="11.25" customHeight="1">
      <c r="B5" s="865"/>
      <c r="C5" s="861"/>
      <c r="D5" s="861"/>
      <c r="E5" s="861"/>
      <c r="F5" s="861"/>
      <c r="G5" s="861"/>
      <c r="H5" s="861"/>
      <c r="I5" s="866"/>
    </row>
    <row r="6" spans="2:9" ht="21.75" customHeight="1">
      <c r="B6" s="865"/>
      <c r="C6" s="1163" t="s">
        <v>2335</v>
      </c>
      <c r="D6" s="1163"/>
      <c r="E6" s="1163"/>
      <c r="F6" s="1163"/>
      <c r="G6" s="1163"/>
      <c r="H6" s="1163"/>
      <c r="I6" s="868"/>
    </row>
    <row r="7" spans="2:9" ht="11.25" customHeight="1">
      <c r="B7" s="865"/>
      <c r="C7" s="867"/>
      <c r="D7" s="867"/>
      <c r="E7" s="867"/>
      <c r="F7" s="867"/>
      <c r="G7" s="867"/>
      <c r="H7" s="867"/>
      <c r="I7" s="868"/>
    </row>
    <row r="8" spans="2:9" ht="23.25" customHeight="1">
      <c r="B8" s="865"/>
      <c r="C8" s="872" t="s">
        <v>1584</v>
      </c>
      <c r="D8" s="867"/>
      <c r="E8" s="867"/>
      <c r="F8" s="867"/>
      <c r="G8" s="867"/>
      <c r="H8" s="867"/>
      <c r="I8" s="868"/>
    </row>
    <row r="9" spans="2:9" ht="23.25" customHeight="1">
      <c r="B9" s="865"/>
      <c r="C9" s="872" t="s">
        <v>2336</v>
      </c>
      <c r="D9" s="867"/>
      <c r="E9" s="867"/>
      <c r="F9" s="867"/>
      <c r="G9" s="867"/>
      <c r="H9" s="867"/>
      <c r="I9" s="868"/>
    </row>
    <row r="10" spans="2:9" ht="23.25" customHeight="1">
      <c r="B10" s="865"/>
      <c r="C10" s="872" t="s">
        <v>2337</v>
      </c>
      <c r="D10" s="867"/>
      <c r="E10" s="867"/>
      <c r="F10" s="867"/>
      <c r="G10" s="867"/>
      <c r="H10" s="867"/>
      <c r="I10" s="868"/>
    </row>
    <row r="11" spans="2:9" ht="23.25" customHeight="1">
      <c r="B11" s="865"/>
      <c r="C11" s="872" t="s">
        <v>2415</v>
      </c>
      <c r="D11" s="867"/>
      <c r="E11" s="867"/>
      <c r="F11" s="867"/>
      <c r="G11" s="867"/>
      <c r="H11" s="867"/>
      <c r="I11" s="868"/>
    </row>
    <row r="12" spans="2:9" ht="23.25" customHeight="1">
      <c r="B12" s="865"/>
      <c r="C12" s="872" t="s">
        <v>2351</v>
      </c>
      <c r="D12" s="867"/>
      <c r="E12" s="867"/>
      <c r="F12" s="867"/>
      <c r="G12" s="867"/>
      <c r="H12" s="867"/>
      <c r="I12" s="868"/>
    </row>
    <row r="13" spans="2:9" ht="23.25" customHeight="1">
      <c r="B13" s="865"/>
      <c r="C13" s="872" t="s">
        <v>1586</v>
      </c>
      <c r="D13" s="867"/>
      <c r="E13" s="867"/>
      <c r="F13" s="867"/>
      <c r="G13" s="867"/>
      <c r="H13" s="867"/>
      <c r="I13" s="868"/>
    </row>
    <row r="14" spans="2:9" ht="23.25" customHeight="1">
      <c r="B14" s="865"/>
      <c r="C14" s="872" t="s">
        <v>2416</v>
      </c>
      <c r="D14" s="867"/>
      <c r="E14" s="867"/>
      <c r="F14" s="867"/>
      <c r="G14" s="867"/>
      <c r="H14" s="867"/>
      <c r="I14" s="868"/>
    </row>
    <row r="15" spans="2:9" ht="23.25" customHeight="1">
      <c r="B15" s="865"/>
      <c r="C15" s="872" t="s">
        <v>1587</v>
      </c>
      <c r="D15" s="867"/>
      <c r="E15" s="867"/>
      <c r="F15" s="867"/>
      <c r="G15" s="867"/>
      <c r="H15" s="867"/>
      <c r="I15" s="868"/>
    </row>
    <row r="16" spans="2:9" ht="23.25" customHeight="1">
      <c r="B16" s="865"/>
      <c r="C16" s="872" t="s">
        <v>1588</v>
      </c>
      <c r="D16" s="867"/>
      <c r="E16" s="867"/>
      <c r="F16" s="867"/>
      <c r="G16" s="867"/>
      <c r="H16" s="867"/>
      <c r="I16" s="868"/>
    </row>
    <row r="17" spans="2:9" ht="23.25" customHeight="1">
      <c r="B17" s="865"/>
      <c r="C17" s="872" t="s">
        <v>2418</v>
      </c>
      <c r="D17" s="867"/>
      <c r="E17" s="867"/>
      <c r="F17" s="867"/>
      <c r="G17" s="867"/>
      <c r="H17" s="867"/>
      <c r="I17" s="868"/>
    </row>
    <row r="18" spans="2:9" ht="23.25" customHeight="1">
      <c r="B18" s="865"/>
      <c r="C18" s="872" t="s">
        <v>2338</v>
      </c>
      <c r="D18" s="867"/>
      <c r="E18" s="867"/>
      <c r="F18" s="867"/>
      <c r="G18" s="867"/>
      <c r="H18" s="867"/>
      <c r="I18" s="868"/>
    </row>
    <row r="19" spans="2:9" ht="23.25" customHeight="1">
      <c r="B19" s="865"/>
      <c r="C19" s="872" t="s">
        <v>2380</v>
      </c>
      <c r="D19" s="867"/>
      <c r="E19" s="867"/>
      <c r="F19" s="867"/>
      <c r="G19" s="867"/>
      <c r="H19" s="867"/>
      <c r="I19" s="868"/>
    </row>
    <row r="20" spans="2:9" ht="23.25" customHeight="1">
      <c r="B20" s="865"/>
      <c r="C20" s="872" t="s">
        <v>2417</v>
      </c>
      <c r="D20" s="867"/>
      <c r="E20" s="867"/>
      <c r="F20" s="867"/>
      <c r="G20" s="867"/>
      <c r="H20" s="867"/>
      <c r="I20" s="868"/>
    </row>
    <row r="21" spans="2:9" ht="10.5" customHeight="1" thickBot="1">
      <c r="B21" s="869"/>
      <c r="C21" s="870"/>
      <c r="D21" s="870"/>
      <c r="E21" s="870"/>
      <c r="F21" s="870"/>
      <c r="G21" s="870"/>
      <c r="H21" s="870"/>
      <c r="I21" s="871"/>
    </row>
    <row r="22" spans="2:9" ht="7.5" customHeight="1" thickBot="1"/>
    <row r="23" spans="2:9" ht="23.25" customHeight="1" thickBot="1">
      <c r="B23" s="862"/>
      <c r="C23" s="863"/>
      <c r="D23" s="863"/>
      <c r="E23" s="863"/>
      <c r="F23" s="863"/>
      <c r="G23" s="863"/>
      <c r="H23" s="863"/>
      <c r="I23" s="864"/>
    </row>
    <row r="24" spans="2:9" ht="23.25" customHeight="1">
      <c r="B24" s="865"/>
      <c r="C24" s="1" t="s">
        <v>2339</v>
      </c>
      <c r="D24" s="1155"/>
      <c r="E24" s="1155"/>
      <c r="F24" s="1155"/>
      <c r="G24" s="1155"/>
      <c r="H24" s="1156"/>
      <c r="I24" s="866"/>
    </row>
    <row r="25" spans="2:9" ht="23.25" customHeight="1" thickBot="1">
      <c r="B25" s="865"/>
      <c r="C25" s="1157"/>
      <c r="D25" s="1158"/>
      <c r="E25" s="1158"/>
      <c r="F25" s="1158"/>
      <c r="G25" s="1158"/>
      <c r="H25" s="1159"/>
      <c r="I25" s="866"/>
    </row>
    <row r="26" spans="2:9" ht="23.25" customHeight="1" thickBot="1">
      <c r="B26" s="865"/>
      <c r="C26" s="861"/>
      <c r="D26" s="861"/>
      <c r="E26" s="861"/>
      <c r="F26" s="861"/>
      <c r="G26" s="861"/>
      <c r="H26" s="861"/>
      <c r="I26" s="866"/>
    </row>
    <row r="27" spans="2:9" ht="23.25" customHeight="1" thickBot="1">
      <c r="B27" s="865"/>
      <c r="C27" s="1160" t="s">
        <v>2340</v>
      </c>
      <c r="D27" s="1161"/>
      <c r="E27" s="1161"/>
      <c r="F27" s="1161"/>
      <c r="G27" s="1162"/>
      <c r="H27" s="887" t="s">
        <v>2341</v>
      </c>
      <c r="I27" s="868"/>
    </row>
    <row r="28" spans="2:9" ht="21.75" customHeight="1">
      <c r="B28" s="865"/>
      <c r="C28" s="885" t="str">
        <f>+'Res de Costos Pais'!B30</f>
        <v>VALOR TOTAL TALENTO HUMANO</v>
      </c>
      <c r="D28" s="875"/>
      <c r="E28" s="875"/>
      <c r="F28" s="875"/>
      <c r="G28" s="876"/>
      <c r="H28" s="886">
        <f>+'Res de Costos Pais'!H30</f>
        <v>11696591845.759918</v>
      </c>
      <c r="I28" s="868"/>
    </row>
    <row r="29" spans="2:9" ht="21.75" customHeight="1">
      <c r="B29" s="865"/>
      <c r="C29" s="877" t="str">
        <f>+'Res de Costos Pais'!B103</f>
        <v>VALOR TOTAL TRANSPORTE</v>
      </c>
      <c r="D29" s="873"/>
      <c r="E29" s="873"/>
      <c r="F29" s="873"/>
      <c r="G29" s="874"/>
      <c r="H29" s="878">
        <f>+'Res de Costos Pais'!H103</f>
        <v>1372343048.0923336</v>
      </c>
      <c r="I29" s="868"/>
    </row>
    <row r="30" spans="2:9" ht="21.75" customHeight="1">
      <c r="B30" s="865"/>
      <c r="C30" s="877" t="str">
        <f>+'Res de Costos Pais'!B112</f>
        <v>TOTAL OTROS COSTOS</v>
      </c>
      <c r="D30" s="873"/>
      <c r="E30" s="873"/>
      <c r="F30" s="873"/>
      <c r="G30" s="874"/>
      <c r="H30" s="878">
        <f>+'Res de Costos Pais'!H112</f>
        <v>16829256220.829409</v>
      </c>
      <c r="I30" s="868"/>
    </row>
    <row r="31" spans="2:9" ht="21.75" customHeight="1">
      <c r="B31" s="865"/>
      <c r="C31" s="879" t="str">
        <f>+'Res de Costos Pais'!B114</f>
        <v>SUBTOTAL 1 (TALENTO HUMANO + TRANSPORTE + OTROS COSTOS)</v>
      </c>
      <c r="D31" s="873"/>
      <c r="E31" s="873"/>
      <c r="F31" s="873"/>
      <c r="G31" s="874"/>
      <c r="H31" s="880">
        <f>+'Res de Costos Pais'!H114</f>
        <v>29898191114.68166</v>
      </c>
      <c r="I31" s="868"/>
    </row>
    <row r="32" spans="2:9" ht="21.75" customHeight="1">
      <c r="B32" s="865"/>
      <c r="C32" s="877" t="str">
        <f>+'Res de Costos Pais'!B118</f>
        <v xml:space="preserve">TOTAL ADMINISTRACIÓN </v>
      </c>
      <c r="D32" s="873"/>
      <c r="E32" s="873"/>
      <c r="F32" s="873"/>
      <c r="G32" s="874"/>
      <c r="H32" s="878">
        <f>+'Res de Costos Pais'!H118</f>
        <v>2048026091.3556938</v>
      </c>
      <c r="I32" s="868"/>
    </row>
    <row r="33" spans="2:9" ht="21.75" customHeight="1">
      <c r="B33" s="865"/>
      <c r="C33" s="879" t="str">
        <f>+'Res de Costos Pais'!B120</f>
        <v>SUBTOTAL 2 = (SUBTOTAL 1 + ADMINISTRACIÓN Y EXCEDENTE SOCIAL)</v>
      </c>
      <c r="D33" s="873"/>
      <c r="E33" s="873"/>
      <c r="F33" s="873"/>
      <c r="G33" s="874"/>
      <c r="H33" s="880">
        <f>+'Res de Costos Pais'!H120</f>
        <v>31946217206.037354</v>
      </c>
      <c r="I33" s="868"/>
    </row>
    <row r="34" spans="2:9" ht="21.75" customHeight="1">
      <c r="B34" s="865"/>
      <c r="C34" s="877" t="str">
        <f>+'Res de Costos Pais'!B125</f>
        <v xml:space="preserve">TOTAL IMPUESTOS </v>
      </c>
      <c r="D34" s="873"/>
      <c r="E34" s="873"/>
      <c r="F34" s="873"/>
      <c r="G34" s="874"/>
      <c r="H34" s="878">
        <f>+'Res de Costos Pais'!H125</f>
        <v>308600458.21032083</v>
      </c>
      <c r="I34" s="868"/>
    </row>
    <row r="35" spans="2:9" ht="21.75" customHeight="1">
      <c r="B35" s="865"/>
      <c r="C35" s="879" t="str">
        <f>+'Res de Costos Pais'!B127</f>
        <v>SUBTOTAL 3= (SUBTOTAL 2 + IMPUESTOS)</v>
      </c>
      <c r="D35" s="873"/>
      <c r="E35" s="873"/>
      <c r="F35" s="873"/>
      <c r="G35" s="874"/>
      <c r="H35" s="880">
        <f>+'Res de Costos Pais'!H127</f>
        <v>32254817664.247673</v>
      </c>
      <c r="I35" s="868"/>
    </row>
    <row r="36" spans="2:9" ht="21.75" customHeight="1">
      <c r="B36" s="865"/>
      <c r="C36" s="877" t="str">
        <f>+'Res de Costos Pais'!B136</f>
        <v>TOTAL POLIZAS</v>
      </c>
      <c r="D36" s="873"/>
      <c r="E36" s="873"/>
      <c r="F36" s="873"/>
      <c r="G36" s="874"/>
      <c r="H36" s="878">
        <f>+'Res de Costos Pais'!H136</f>
        <v>87088007.69346872</v>
      </c>
      <c r="I36" s="868"/>
    </row>
    <row r="37" spans="2:9" ht="21.75" customHeight="1">
      <c r="B37" s="865"/>
      <c r="C37" s="879" t="str">
        <f>+'Res de Costos Pais'!B138</f>
        <v>SUBTOTAL 4 =  (SUBTOTAL 3 + POLIZAS)</v>
      </c>
      <c r="D37" s="873"/>
      <c r="E37" s="873"/>
      <c r="F37" s="873"/>
      <c r="G37" s="874"/>
      <c r="H37" s="880">
        <f>+'Res de Costos Pais'!H138</f>
        <v>32341905671.941143</v>
      </c>
      <c r="I37" s="868"/>
    </row>
    <row r="38" spans="2:9" ht="21.75" customHeight="1">
      <c r="B38" s="865"/>
      <c r="C38" s="877" t="str">
        <f>+'Res de Costos Pais'!B140</f>
        <v>GRAVAMEN MOVIMIENTO FINANCIERO</v>
      </c>
      <c r="D38" s="873"/>
      <c r="E38" s="873"/>
      <c r="F38" s="873"/>
      <c r="G38" s="874"/>
      <c r="H38" s="878">
        <f>+'Res de Costos Pais'!H140</f>
        <v>129367622.68776457</v>
      </c>
      <c r="I38" s="868"/>
    </row>
    <row r="39" spans="2:9" ht="21.75" customHeight="1">
      <c r="B39" s="865"/>
      <c r="C39" s="879" t="str">
        <f>+'Res de Costos Pais'!B142</f>
        <v>VALOR NETO = (SUBTOTAL 4 + GMF)</v>
      </c>
      <c r="D39" s="873"/>
      <c r="E39" s="873"/>
      <c r="F39" s="873"/>
      <c r="G39" s="874"/>
      <c r="H39" s="880">
        <f>+'Res de Costos Pais'!H142</f>
        <v>32471273294.628906</v>
      </c>
      <c r="I39" s="868"/>
    </row>
    <row r="40" spans="2:9" ht="21.75" customHeight="1" thickBot="1">
      <c r="B40" s="865"/>
      <c r="C40" s="881" t="str">
        <f>+'Res de Costos Pais'!B143</f>
        <v>VALOR PROMEDIO POR NNA MES</v>
      </c>
      <c r="D40" s="882"/>
      <c r="E40" s="882"/>
      <c r="F40" s="882"/>
      <c r="G40" s="883"/>
      <c r="H40" s="884">
        <f>+'Res de Costos Pais'!H143</f>
        <v>37025.397143248469</v>
      </c>
      <c r="I40" s="868"/>
    </row>
    <row r="41" spans="2:9" ht="21.75" customHeight="1" thickBot="1">
      <c r="B41" s="869"/>
      <c r="C41" s="888"/>
      <c r="D41" s="870"/>
      <c r="E41" s="870"/>
      <c r="F41" s="870"/>
      <c r="G41" s="870"/>
      <c r="H41" s="889"/>
      <c r="I41" s="871"/>
    </row>
    <row r="42" spans="2:9" ht="9.75" customHeight="1">
      <c r="H42" s="1153">
        <v>41323</v>
      </c>
    </row>
    <row r="43" spans="2:9" ht="21.75" hidden="1" customHeight="1"/>
    <row r="44" spans="2:9" ht="21.75" hidden="1" customHeight="1"/>
    <row r="45" spans="2:9" ht="21.75" hidden="1" customHeight="1"/>
  </sheetData>
  <sheetProtection password="CC59" sheet="1" objects="1" scenarios="1"/>
  <mergeCells count="4">
    <mergeCell ref="C3:H4"/>
    <mergeCell ref="C24:H25"/>
    <mergeCell ref="C27:G27"/>
    <mergeCell ref="C6:H6"/>
  </mergeCells>
  <hyperlinks>
    <hyperlink ref="C8" location="'Parametros Generales'!A1" display="Parametros Clave"/>
    <hyperlink ref="C9" location="'Salarios de Ref'!A1" display="'Salarios de Ref'!A1"/>
    <hyperlink ref="C10" location="'Componentes T.H.'!A1" display="'Componentes T.H.'!A1"/>
    <hyperlink ref="C18" location="'Res de Costos Pais'!A1" display="Resumen de Costos"/>
    <hyperlink ref="C17" location="'Cost x Depart'!A1" display="Costos por Departamento "/>
    <hyperlink ref="C11" location="'Transporte y Viaticos'!A1" display="'Transporte y Viaticos'!A1"/>
    <hyperlink ref="C12" location="'CODIGOS'!A1" display="'CODIGOS'!A1"/>
    <hyperlink ref="C13" location="'Cot. Refrig. '!A1" display="'Cot. Refrig. '!A1"/>
    <hyperlink ref="C14" location="'Cot. Papeleria'!A1" display="'Cot. Papeleria'!A1"/>
    <hyperlink ref="C15" location="'Cot Int y Cel'!A1" display="'Cot Int y Cel'!A1"/>
    <hyperlink ref="C16" location="'Cot. Chalecos'!A1" display="'Cot. Chalecos'!A1"/>
    <hyperlink ref="C20" location="'Analisis de Escenarios'!A1" display="Escenarios de analisis"/>
    <hyperlink ref="C19" location="'Res de Costos X Dept'!A1" display="Resumen de Costos Por Departamento"/>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codeName="Hoja7">
    <tabColor theme="4"/>
  </sheetPr>
  <dimension ref="A1:E1124"/>
  <sheetViews>
    <sheetView showGridLines="0" workbookViewId="0">
      <selection activeCell="E1" sqref="E1"/>
    </sheetView>
  </sheetViews>
  <sheetFormatPr baseColWidth="10" defaultRowHeight="15"/>
  <cols>
    <col min="1" max="1" width="24" bestFit="1" customWidth="1"/>
    <col min="4" max="4" width="16.140625" bestFit="1" customWidth="1"/>
  </cols>
  <sheetData>
    <row r="1" spans="1:5" ht="15.75" thickBot="1">
      <c r="A1" s="413" t="s">
        <v>759</v>
      </c>
      <c r="B1" s="414" t="s">
        <v>760</v>
      </c>
      <c r="C1" s="415" t="s">
        <v>757</v>
      </c>
      <c r="D1" s="416" t="s">
        <v>758</v>
      </c>
      <c r="E1" s="4" t="s">
        <v>2343</v>
      </c>
    </row>
    <row r="2" spans="1:5">
      <c r="A2" s="409" t="s">
        <v>48</v>
      </c>
      <c r="B2" s="410">
        <v>5001</v>
      </c>
      <c r="C2" s="411">
        <v>5</v>
      </c>
      <c r="D2" s="412" t="s">
        <v>761</v>
      </c>
    </row>
    <row r="3" spans="1:5">
      <c r="A3" s="401" t="s">
        <v>113</v>
      </c>
      <c r="B3" s="400">
        <v>5002</v>
      </c>
      <c r="C3" s="399">
        <v>5</v>
      </c>
      <c r="D3" s="402" t="s">
        <v>761</v>
      </c>
    </row>
    <row r="4" spans="1:5">
      <c r="A4" s="401" t="s">
        <v>762</v>
      </c>
      <c r="B4" s="400">
        <v>5004</v>
      </c>
      <c r="C4" s="399">
        <v>5</v>
      </c>
      <c r="D4" s="402" t="s">
        <v>761</v>
      </c>
    </row>
    <row r="5" spans="1:5">
      <c r="A5" s="401" t="s">
        <v>763</v>
      </c>
      <c r="B5" s="400">
        <v>5021</v>
      </c>
      <c r="C5" s="399">
        <v>5</v>
      </c>
      <c r="D5" s="402" t="s">
        <v>761</v>
      </c>
    </row>
    <row r="6" spans="1:5">
      <c r="A6" s="401" t="s">
        <v>49</v>
      </c>
      <c r="B6" s="400">
        <v>5030</v>
      </c>
      <c r="C6" s="399">
        <v>5</v>
      </c>
      <c r="D6" s="402" t="s">
        <v>761</v>
      </c>
    </row>
    <row r="7" spans="1:5">
      <c r="A7" s="401" t="s">
        <v>50</v>
      </c>
      <c r="B7" s="400">
        <v>5031</v>
      </c>
      <c r="C7" s="399">
        <v>5</v>
      </c>
      <c r="D7" s="402" t="s">
        <v>761</v>
      </c>
    </row>
    <row r="8" spans="1:5">
      <c r="A8" s="401" t="s">
        <v>51</v>
      </c>
      <c r="B8" s="400">
        <v>5034</v>
      </c>
      <c r="C8" s="399">
        <v>5</v>
      </c>
      <c r="D8" s="402" t="s">
        <v>761</v>
      </c>
    </row>
    <row r="9" spans="1:5">
      <c r="A9" s="401" t="s">
        <v>764</v>
      </c>
      <c r="B9" s="400">
        <v>5036</v>
      </c>
      <c r="C9" s="399">
        <v>5</v>
      </c>
      <c r="D9" s="402" t="s">
        <v>761</v>
      </c>
    </row>
    <row r="10" spans="1:5">
      <c r="A10" s="401" t="s">
        <v>765</v>
      </c>
      <c r="B10" s="400">
        <v>5038</v>
      </c>
      <c r="C10" s="399">
        <v>5</v>
      </c>
      <c r="D10" s="402" t="s">
        <v>761</v>
      </c>
    </row>
    <row r="11" spans="1:5">
      <c r="A11" s="401" t="s">
        <v>52</v>
      </c>
      <c r="B11" s="400">
        <v>5040</v>
      </c>
      <c r="C11" s="399">
        <v>5</v>
      </c>
      <c r="D11" s="402" t="s">
        <v>761</v>
      </c>
    </row>
    <row r="12" spans="1:5">
      <c r="A12" s="401" t="s">
        <v>98</v>
      </c>
      <c r="B12" s="400">
        <v>5042</v>
      </c>
      <c r="C12" s="399">
        <v>5</v>
      </c>
      <c r="D12" s="402" t="s">
        <v>761</v>
      </c>
    </row>
    <row r="13" spans="1:5">
      <c r="A13" s="401" t="s">
        <v>766</v>
      </c>
      <c r="B13" s="400">
        <v>5044</v>
      </c>
      <c r="C13" s="399">
        <v>5</v>
      </c>
      <c r="D13" s="402" t="s">
        <v>761</v>
      </c>
    </row>
    <row r="14" spans="1:5">
      <c r="A14" s="401" t="s">
        <v>53</v>
      </c>
      <c r="B14" s="400">
        <v>5045</v>
      </c>
      <c r="C14" s="399">
        <v>5</v>
      </c>
      <c r="D14" s="402" t="s">
        <v>761</v>
      </c>
    </row>
    <row r="15" spans="1:5">
      <c r="A15" s="401" t="s">
        <v>54</v>
      </c>
      <c r="B15" s="400">
        <v>5051</v>
      </c>
      <c r="C15" s="399">
        <v>5</v>
      </c>
      <c r="D15" s="402" t="s">
        <v>761</v>
      </c>
    </row>
    <row r="16" spans="1:5">
      <c r="A16" s="401" t="s">
        <v>114</v>
      </c>
      <c r="B16" s="400">
        <v>5055</v>
      </c>
      <c r="C16" s="399">
        <v>5</v>
      </c>
      <c r="D16" s="402" t="s">
        <v>761</v>
      </c>
    </row>
    <row r="17" spans="1:4">
      <c r="A17" s="401" t="s">
        <v>767</v>
      </c>
      <c r="B17" s="400">
        <v>5059</v>
      </c>
      <c r="C17" s="399">
        <v>5</v>
      </c>
      <c r="D17" s="402" t="s">
        <v>761</v>
      </c>
    </row>
    <row r="18" spans="1:4">
      <c r="A18" s="401" t="s">
        <v>55</v>
      </c>
      <c r="B18" s="400">
        <v>5079</v>
      </c>
      <c r="C18" s="399">
        <v>5</v>
      </c>
      <c r="D18" s="402" t="s">
        <v>761</v>
      </c>
    </row>
    <row r="19" spans="1:4">
      <c r="A19" s="401" t="s">
        <v>768</v>
      </c>
      <c r="B19" s="400">
        <v>5086</v>
      </c>
      <c r="C19" s="399">
        <v>5</v>
      </c>
      <c r="D19" s="402" t="s">
        <v>761</v>
      </c>
    </row>
    <row r="20" spans="1:4">
      <c r="A20" s="401" t="s">
        <v>56</v>
      </c>
      <c r="B20" s="400">
        <v>5088</v>
      </c>
      <c r="C20" s="399">
        <v>5</v>
      </c>
      <c r="D20" s="402" t="s">
        <v>761</v>
      </c>
    </row>
    <row r="21" spans="1:4">
      <c r="A21" s="401" t="s">
        <v>769</v>
      </c>
      <c r="B21" s="400">
        <v>5091</v>
      </c>
      <c r="C21" s="399">
        <v>5</v>
      </c>
      <c r="D21" s="402" t="s">
        <v>761</v>
      </c>
    </row>
    <row r="22" spans="1:4">
      <c r="A22" s="401" t="s">
        <v>57</v>
      </c>
      <c r="B22" s="400">
        <v>5093</v>
      </c>
      <c r="C22" s="399">
        <v>5</v>
      </c>
      <c r="D22" s="402" t="s">
        <v>761</v>
      </c>
    </row>
    <row r="23" spans="1:4">
      <c r="A23" s="401" t="s">
        <v>770</v>
      </c>
      <c r="B23" s="400">
        <v>5101</v>
      </c>
      <c r="C23" s="399">
        <v>5</v>
      </c>
      <c r="D23" s="402" t="s">
        <v>761</v>
      </c>
    </row>
    <row r="24" spans="1:4">
      <c r="A24" s="401" t="s">
        <v>58</v>
      </c>
      <c r="B24" s="400">
        <v>5107</v>
      </c>
      <c r="C24" s="399">
        <v>5</v>
      </c>
      <c r="D24" s="402" t="s">
        <v>761</v>
      </c>
    </row>
    <row r="25" spans="1:4">
      <c r="A25" s="401" t="s">
        <v>59</v>
      </c>
      <c r="B25" s="400">
        <v>5113</v>
      </c>
      <c r="C25" s="399">
        <v>5</v>
      </c>
      <c r="D25" s="402" t="s">
        <v>761</v>
      </c>
    </row>
    <row r="26" spans="1:4">
      <c r="A26" s="401" t="s">
        <v>60</v>
      </c>
      <c r="B26" s="400">
        <v>5120</v>
      </c>
      <c r="C26" s="399">
        <v>5</v>
      </c>
      <c r="D26" s="402" t="s">
        <v>761</v>
      </c>
    </row>
    <row r="27" spans="1:4">
      <c r="A27" s="401" t="s">
        <v>61</v>
      </c>
      <c r="B27" s="400">
        <v>5125</v>
      </c>
      <c r="C27" s="399">
        <v>5</v>
      </c>
      <c r="D27" s="402" t="s">
        <v>761</v>
      </c>
    </row>
    <row r="28" spans="1:4">
      <c r="A28" s="401" t="s">
        <v>62</v>
      </c>
      <c r="B28" s="400">
        <v>5129</v>
      </c>
      <c r="C28" s="399">
        <v>5</v>
      </c>
      <c r="D28" s="402" t="s">
        <v>761</v>
      </c>
    </row>
    <row r="29" spans="1:4">
      <c r="A29" s="401" t="s">
        <v>771</v>
      </c>
      <c r="B29" s="400">
        <v>5134</v>
      </c>
      <c r="C29" s="399">
        <v>5</v>
      </c>
      <c r="D29" s="402" t="s">
        <v>761</v>
      </c>
    </row>
    <row r="30" spans="1:4">
      <c r="A30" s="401" t="s">
        <v>63</v>
      </c>
      <c r="B30" s="400">
        <v>5138</v>
      </c>
      <c r="C30" s="399">
        <v>5</v>
      </c>
      <c r="D30" s="402" t="s">
        <v>761</v>
      </c>
    </row>
    <row r="31" spans="1:4">
      <c r="A31" s="401" t="s">
        <v>772</v>
      </c>
      <c r="B31" s="400">
        <v>5142</v>
      </c>
      <c r="C31" s="399">
        <v>5</v>
      </c>
      <c r="D31" s="402" t="s">
        <v>761</v>
      </c>
    </row>
    <row r="32" spans="1:4">
      <c r="A32" s="401" t="s">
        <v>773</v>
      </c>
      <c r="B32" s="400">
        <v>5145</v>
      </c>
      <c r="C32" s="399">
        <v>5</v>
      </c>
      <c r="D32" s="402" t="s">
        <v>761</v>
      </c>
    </row>
    <row r="33" spans="1:4">
      <c r="A33" s="401" t="s">
        <v>64</v>
      </c>
      <c r="B33" s="400">
        <v>5147</v>
      </c>
      <c r="C33" s="399">
        <v>5</v>
      </c>
      <c r="D33" s="402" t="s">
        <v>761</v>
      </c>
    </row>
    <row r="34" spans="1:4">
      <c r="A34" s="401" t="s">
        <v>116</v>
      </c>
      <c r="B34" s="400">
        <v>5148</v>
      </c>
      <c r="C34" s="399">
        <v>5</v>
      </c>
      <c r="D34" s="402" t="s">
        <v>761</v>
      </c>
    </row>
    <row r="35" spans="1:4">
      <c r="A35" s="401" t="s">
        <v>65</v>
      </c>
      <c r="B35" s="400">
        <v>5150</v>
      </c>
      <c r="C35" s="399">
        <v>5</v>
      </c>
      <c r="D35" s="402" t="s">
        <v>761</v>
      </c>
    </row>
    <row r="36" spans="1:4">
      <c r="A36" s="401" t="s">
        <v>66</v>
      </c>
      <c r="B36" s="400">
        <v>5154</v>
      </c>
      <c r="C36" s="399">
        <v>5</v>
      </c>
      <c r="D36" s="402" t="s">
        <v>761</v>
      </c>
    </row>
    <row r="37" spans="1:4">
      <c r="A37" s="401" t="s">
        <v>67</v>
      </c>
      <c r="B37" s="400">
        <v>5172</v>
      </c>
      <c r="C37" s="399">
        <v>5</v>
      </c>
      <c r="D37" s="402" t="s">
        <v>761</v>
      </c>
    </row>
    <row r="38" spans="1:4">
      <c r="A38" s="401" t="s">
        <v>68</v>
      </c>
      <c r="B38" s="400">
        <v>5190</v>
      </c>
      <c r="C38" s="399">
        <v>5</v>
      </c>
      <c r="D38" s="402" t="s">
        <v>761</v>
      </c>
    </row>
    <row r="39" spans="1:4">
      <c r="A39" s="401" t="s">
        <v>115</v>
      </c>
      <c r="B39" s="400">
        <v>5197</v>
      </c>
      <c r="C39" s="399">
        <v>5</v>
      </c>
      <c r="D39" s="402" t="s">
        <v>761</v>
      </c>
    </row>
    <row r="40" spans="1:4">
      <c r="A40" s="401" t="s">
        <v>774</v>
      </c>
      <c r="B40" s="400">
        <v>5206</v>
      </c>
      <c r="C40" s="399">
        <v>5</v>
      </c>
      <c r="D40" s="402" t="s">
        <v>761</v>
      </c>
    </row>
    <row r="41" spans="1:4">
      <c r="A41" s="401" t="s">
        <v>69</v>
      </c>
      <c r="B41" s="400">
        <v>5209</v>
      </c>
      <c r="C41" s="399">
        <v>5</v>
      </c>
      <c r="D41" s="402" t="s">
        <v>761</v>
      </c>
    </row>
    <row r="42" spans="1:4">
      <c r="A42" s="401" t="s">
        <v>70</v>
      </c>
      <c r="B42" s="400">
        <v>5212</v>
      </c>
      <c r="C42" s="399">
        <v>5</v>
      </c>
      <c r="D42" s="402" t="s">
        <v>761</v>
      </c>
    </row>
    <row r="43" spans="1:4">
      <c r="A43" s="401" t="s">
        <v>71</v>
      </c>
      <c r="B43" s="400">
        <v>5234</v>
      </c>
      <c r="C43" s="399">
        <v>5</v>
      </c>
      <c r="D43" s="402" t="s">
        <v>761</v>
      </c>
    </row>
    <row r="44" spans="1:4">
      <c r="A44" s="401" t="s">
        <v>775</v>
      </c>
      <c r="B44" s="400">
        <v>5237</v>
      </c>
      <c r="C44" s="399">
        <v>5</v>
      </c>
      <c r="D44" s="402" t="s">
        <v>761</v>
      </c>
    </row>
    <row r="45" spans="1:4">
      <c r="A45" s="401" t="s">
        <v>776</v>
      </c>
      <c r="B45" s="400">
        <v>5240</v>
      </c>
      <c r="C45" s="399">
        <v>5</v>
      </c>
      <c r="D45" s="402" t="s">
        <v>761</v>
      </c>
    </row>
    <row r="46" spans="1:4">
      <c r="A46" s="401" t="s">
        <v>72</v>
      </c>
      <c r="B46" s="400">
        <v>5250</v>
      </c>
      <c r="C46" s="399">
        <v>5</v>
      </c>
      <c r="D46" s="402" t="s">
        <v>761</v>
      </c>
    </row>
    <row r="47" spans="1:4">
      <c r="A47" s="401" t="s">
        <v>73</v>
      </c>
      <c r="B47" s="400">
        <v>5264</v>
      </c>
      <c r="C47" s="399">
        <v>5</v>
      </c>
      <c r="D47" s="402" t="s">
        <v>761</v>
      </c>
    </row>
    <row r="48" spans="1:4">
      <c r="A48" s="401" t="s">
        <v>74</v>
      </c>
      <c r="B48" s="400">
        <v>5266</v>
      </c>
      <c r="C48" s="399">
        <v>5</v>
      </c>
      <c r="D48" s="402" t="s">
        <v>761</v>
      </c>
    </row>
    <row r="49" spans="1:4">
      <c r="A49" s="401" t="s">
        <v>75</v>
      </c>
      <c r="B49" s="400">
        <v>5282</v>
      </c>
      <c r="C49" s="399">
        <v>5</v>
      </c>
      <c r="D49" s="402" t="s">
        <v>761</v>
      </c>
    </row>
    <row r="50" spans="1:4">
      <c r="A50" s="401" t="s">
        <v>76</v>
      </c>
      <c r="B50" s="400">
        <v>5284</v>
      </c>
      <c r="C50" s="399">
        <v>5</v>
      </c>
      <c r="D50" s="402" t="s">
        <v>761</v>
      </c>
    </row>
    <row r="51" spans="1:4">
      <c r="A51" s="401" t="s">
        <v>77</v>
      </c>
      <c r="B51" s="400">
        <v>5306</v>
      </c>
      <c r="C51" s="399">
        <v>5</v>
      </c>
      <c r="D51" s="402" t="s">
        <v>761</v>
      </c>
    </row>
    <row r="52" spans="1:4">
      <c r="A52" s="401" t="s">
        <v>78</v>
      </c>
      <c r="B52" s="400">
        <v>5308</v>
      </c>
      <c r="C52" s="399">
        <v>5</v>
      </c>
      <c r="D52" s="402" t="s">
        <v>761</v>
      </c>
    </row>
    <row r="53" spans="1:4">
      <c r="A53" s="401" t="s">
        <v>777</v>
      </c>
      <c r="B53" s="400">
        <v>5310</v>
      </c>
      <c r="C53" s="399">
        <v>5</v>
      </c>
      <c r="D53" s="402" t="s">
        <v>761</v>
      </c>
    </row>
    <row r="54" spans="1:4">
      <c r="A54" s="401" t="s">
        <v>118</v>
      </c>
      <c r="B54" s="400">
        <v>5313</v>
      </c>
      <c r="C54" s="399">
        <v>5</v>
      </c>
      <c r="D54" s="402" t="s">
        <v>761</v>
      </c>
    </row>
    <row r="55" spans="1:4">
      <c r="A55" s="401" t="s">
        <v>778</v>
      </c>
      <c r="B55" s="400">
        <v>5315</v>
      </c>
      <c r="C55" s="399">
        <v>5</v>
      </c>
      <c r="D55" s="402" t="s">
        <v>761</v>
      </c>
    </row>
    <row r="56" spans="1:4">
      <c r="A56" s="401" t="s">
        <v>119</v>
      </c>
      <c r="B56" s="400">
        <v>5318</v>
      </c>
      <c r="C56" s="399">
        <v>5</v>
      </c>
      <c r="D56" s="402" t="s">
        <v>761</v>
      </c>
    </row>
    <row r="57" spans="1:4">
      <c r="A57" s="401" t="s">
        <v>779</v>
      </c>
      <c r="B57" s="400">
        <v>5321</v>
      </c>
      <c r="C57" s="399">
        <v>5</v>
      </c>
      <c r="D57" s="402" t="s">
        <v>761</v>
      </c>
    </row>
    <row r="58" spans="1:4">
      <c r="A58" s="401" t="s">
        <v>780</v>
      </c>
      <c r="B58" s="400">
        <v>5347</v>
      </c>
      <c r="C58" s="399">
        <v>5</v>
      </c>
      <c r="D58" s="402" t="s">
        <v>761</v>
      </c>
    </row>
    <row r="59" spans="1:4">
      <c r="A59" s="401" t="s">
        <v>781</v>
      </c>
      <c r="B59" s="400">
        <v>5353</v>
      </c>
      <c r="C59" s="399">
        <v>5</v>
      </c>
      <c r="D59" s="402" t="s">
        <v>761</v>
      </c>
    </row>
    <row r="60" spans="1:4">
      <c r="A60" s="401" t="s">
        <v>79</v>
      </c>
      <c r="B60" s="400">
        <v>5360</v>
      </c>
      <c r="C60" s="399">
        <v>5</v>
      </c>
      <c r="D60" s="402" t="s">
        <v>761</v>
      </c>
    </row>
    <row r="61" spans="1:4">
      <c r="A61" s="401" t="s">
        <v>80</v>
      </c>
      <c r="B61" s="400">
        <v>5361</v>
      </c>
      <c r="C61" s="399">
        <v>5</v>
      </c>
      <c r="D61" s="402" t="s">
        <v>761</v>
      </c>
    </row>
    <row r="62" spans="1:4">
      <c r="A62" s="401" t="s">
        <v>81</v>
      </c>
      <c r="B62" s="400">
        <v>5364</v>
      </c>
      <c r="C62" s="399">
        <v>5</v>
      </c>
      <c r="D62" s="402" t="s">
        <v>761</v>
      </c>
    </row>
    <row r="63" spans="1:4">
      <c r="A63" s="401" t="s">
        <v>782</v>
      </c>
      <c r="B63" s="400">
        <v>5368</v>
      </c>
      <c r="C63" s="399">
        <v>5</v>
      </c>
      <c r="D63" s="402" t="s">
        <v>761</v>
      </c>
    </row>
    <row r="64" spans="1:4">
      <c r="A64" s="401" t="s">
        <v>120</v>
      </c>
      <c r="B64" s="400">
        <v>5376</v>
      </c>
      <c r="C64" s="399">
        <v>5</v>
      </c>
      <c r="D64" s="402" t="s">
        <v>761</v>
      </c>
    </row>
    <row r="65" spans="1:4">
      <c r="A65" s="401" t="s">
        <v>82</v>
      </c>
      <c r="B65" s="400">
        <v>5380</v>
      </c>
      <c r="C65" s="399">
        <v>5</v>
      </c>
      <c r="D65" s="402" t="s">
        <v>761</v>
      </c>
    </row>
    <row r="66" spans="1:4">
      <c r="A66" s="401" t="s">
        <v>783</v>
      </c>
      <c r="B66" s="400">
        <v>5390</v>
      </c>
      <c r="C66" s="399">
        <v>5</v>
      </c>
      <c r="D66" s="402" t="s">
        <v>761</v>
      </c>
    </row>
    <row r="67" spans="1:4">
      <c r="A67" s="401" t="s">
        <v>121</v>
      </c>
      <c r="B67" s="400">
        <v>5400</v>
      </c>
      <c r="C67" s="399">
        <v>5</v>
      </c>
      <c r="D67" s="402" t="s">
        <v>761</v>
      </c>
    </row>
    <row r="68" spans="1:4">
      <c r="A68" s="401" t="s">
        <v>784</v>
      </c>
      <c r="B68" s="400">
        <v>5411</v>
      </c>
      <c r="C68" s="399">
        <v>5</v>
      </c>
      <c r="D68" s="402" t="s">
        <v>761</v>
      </c>
    </row>
    <row r="69" spans="1:4">
      <c r="A69" s="401" t="s">
        <v>83</v>
      </c>
      <c r="B69" s="400">
        <v>5425</v>
      </c>
      <c r="C69" s="399">
        <v>5</v>
      </c>
      <c r="D69" s="402" t="s">
        <v>761</v>
      </c>
    </row>
    <row r="70" spans="1:4">
      <c r="A70" s="401" t="s">
        <v>122</v>
      </c>
      <c r="B70" s="400">
        <v>5440</v>
      </c>
      <c r="C70" s="399">
        <v>5</v>
      </c>
      <c r="D70" s="402" t="s">
        <v>761</v>
      </c>
    </row>
    <row r="71" spans="1:4">
      <c r="A71" s="401" t="s">
        <v>785</v>
      </c>
      <c r="B71" s="400">
        <v>5467</v>
      </c>
      <c r="C71" s="399">
        <v>5</v>
      </c>
      <c r="D71" s="402" t="s">
        <v>761</v>
      </c>
    </row>
    <row r="72" spans="1:4">
      <c r="A72" s="401" t="s">
        <v>84</v>
      </c>
      <c r="B72" s="400">
        <v>5475</v>
      </c>
      <c r="C72" s="399">
        <v>5</v>
      </c>
      <c r="D72" s="402" t="s">
        <v>761</v>
      </c>
    </row>
    <row r="73" spans="1:4">
      <c r="A73" s="401" t="s">
        <v>85</v>
      </c>
      <c r="B73" s="400">
        <v>5480</v>
      </c>
      <c r="C73" s="399">
        <v>5</v>
      </c>
      <c r="D73" s="402" t="s">
        <v>761</v>
      </c>
    </row>
    <row r="74" spans="1:4">
      <c r="A74" s="401" t="s">
        <v>123</v>
      </c>
      <c r="B74" s="400">
        <v>5483</v>
      </c>
      <c r="C74" s="399">
        <v>5</v>
      </c>
      <c r="D74" s="402" t="s">
        <v>761</v>
      </c>
    </row>
    <row r="75" spans="1:4">
      <c r="A75" s="401" t="s">
        <v>87</v>
      </c>
      <c r="B75" s="400">
        <v>5490</v>
      </c>
      <c r="C75" s="399">
        <v>5</v>
      </c>
      <c r="D75" s="402" t="s">
        <v>761</v>
      </c>
    </row>
    <row r="76" spans="1:4">
      <c r="A76" s="401" t="s">
        <v>86</v>
      </c>
      <c r="B76" s="400">
        <v>5495</v>
      </c>
      <c r="C76" s="399">
        <v>5</v>
      </c>
      <c r="D76" s="402" t="s">
        <v>761</v>
      </c>
    </row>
    <row r="77" spans="1:4">
      <c r="A77" s="401" t="s">
        <v>88</v>
      </c>
      <c r="B77" s="400">
        <v>5501</v>
      </c>
      <c r="C77" s="399">
        <v>5</v>
      </c>
      <c r="D77" s="402" t="s">
        <v>761</v>
      </c>
    </row>
    <row r="78" spans="1:4">
      <c r="A78" s="401" t="s">
        <v>786</v>
      </c>
      <c r="B78" s="400">
        <v>5541</v>
      </c>
      <c r="C78" s="399">
        <v>5</v>
      </c>
      <c r="D78" s="402" t="s">
        <v>761</v>
      </c>
    </row>
    <row r="79" spans="1:4">
      <c r="A79" s="401" t="s">
        <v>89</v>
      </c>
      <c r="B79" s="400">
        <v>5543</v>
      </c>
      <c r="C79" s="399">
        <v>5</v>
      </c>
      <c r="D79" s="402" t="s">
        <v>761</v>
      </c>
    </row>
    <row r="80" spans="1:4">
      <c r="A80" s="401" t="s">
        <v>787</v>
      </c>
      <c r="B80" s="400">
        <v>5576</v>
      </c>
      <c r="C80" s="399">
        <v>5</v>
      </c>
      <c r="D80" s="402" t="s">
        <v>761</v>
      </c>
    </row>
    <row r="81" spans="1:4">
      <c r="A81" s="401" t="s">
        <v>90</v>
      </c>
      <c r="B81" s="400">
        <v>5579</v>
      </c>
      <c r="C81" s="399">
        <v>5</v>
      </c>
      <c r="D81" s="402" t="s">
        <v>761</v>
      </c>
    </row>
    <row r="82" spans="1:4">
      <c r="A82" s="401" t="s">
        <v>788</v>
      </c>
      <c r="B82" s="400">
        <v>5585</v>
      </c>
      <c r="C82" s="399">
        <v>5</v>
      </c>
      <c r="D82" s="402" t="s">
        <v>761</v>
      </c>
    </row>
    <row r="83" spans="1:4">
      <c r="A83" s="401" t="s">
        <v>91</v>
      </c>
      <c r="B83" s="400">
        <v>5591</v>
      </c>
      <c r="C83" s="399">
        <v>5</v>
      </c>
      <c r="D83" s="402" t="s">
        <v>761</v>
      </c>
    </row>
    <row r="84" spans="1:4">
      <c r="A84" s="401" t="s">
        <v>92</v>
      </c>
      <c r="B84" s="400">
        <v>5604</v>
      </c>
      <c r="C84" s="399">
        <v>5</v>
      </c>
      <c r="D84" s="402" t="s">
        <v>761</v>
      </c>
    </row>
    <row r="85" spans="1:4">
      <c r="A85" s="401" t="s">
        <v>124</v>
      </c>
      <c r="B85" s="400">
        <v>5607</v>
      </c>
      <c r="C85" s="399">
        <v>5</v>
      </c>
      <c r="D85" s="402" t="s">
        <v>761</v>
      </c>
    </row>
    <row r="86" spans="1:4">
      <c r="A86" s="401" t="s">
        <v>125</v>
      </c>
      <c r="B86" s="400">
        <v>5615</v>
      </c>
      <c r="C86" s="399">
        <v>5</v>
      </c>
      <c r="D86" s="402" t="s">
        <v>761</v>
      </c>
    </row>
    <row r="87" spans="1:4">
      <c r="A87" s="401" t="s">
        <v>789</v>
      </c>
      <c r="B87" s="400">
        <v>5628</v>
      </c>
      <c r="C87" s="399">
        <v>5</v>
      </c>
      <c r="D87" s="402" t="s">
        <v>761</v>
      </c>
    </row>
    <row r="88" spans="1:4">
      <c r="A88" s="401" t="s">
        <v>93</v>
      </c>
      <c r="B88" s="400">
        <v>5631</v>
      </c>
      <c r="C88" s="399">
        <v>5</v>
      </c>
      <c r="D88" s="402" t="s">
        <v>761</v>
      </c>
    </row>
    <row r="89" spans="1:4">
      <c r="A89" s="401" t="s">
        <v>94</v>
      </c>
      <c r="B89" s="400">
        <v>5642</v>
      </c>
      <c r="C89" s="399">
        <v>5</v>
      </c>
      <c r="D89" s="402" t="s">
        <v>761</v>
      </c>
    </row>
    <row r="90" spans="1:4">
      <c r="A90" s="401" t="s">
        <v>790</v>
      </c>
      <c r="B90" s="400">
        <v>5647</v>
      </c>
      <c r="C90" s="399">
        <v>5</v>
      </c>
      <c r="D90" s="402" t="s">
        <v>761</v>
      </c>
    </row>
    <row r="91" spans="1:4">
      <c r="A91" s="401" t="s">
        <v>126</v>
      </c>
      <c r="B91" s="400">
        <v>5649</v>
      </c>
      <c r="C91" s="399">
        <v>5</v>
      </c>
      <c r="D91" s="402" t="s">
        <v>761</v>
      </c>
    </row>
    <row r="92" spans="1:4">
      <c r="A92" s="401" t="s">
        <v>791</v>
      </c>
      <c r="B92" s="400">
        <v>5652</v>
      </c>
      <c r="C92" s="399">
        <v>5</v>
      </c>
      <c r="D92" s="402" t="s">
        <v>761</v>
      </c>
    </row>
    <row r="93" spans="1:4">
      <c r="A93" s="401" t="s">
        <v>792</v>
      </c>
      <c r="B93" s="400">
        <v>5656</v>
      </c>
      <c r="C93" s="399">
        <v>5</v>
      </c>
      <c r="D93" s="402" t="s">
        <v>761</v>
      </c>
    </row>
    <row r="94" spans="1:4">
      <c r="A94" s="401" t="s">
        <v>793</v>
      </c>
      <c r="B94" s="400">
        <v>5658</v>
      </c>
      <c r="C94" s="399">
        <v>5</v>
      </c>
      <c r="D94" s="402" t="s">
        <v>761</v>
      </c>
    </row>
    <row r="95" spans="1:4">
      <c r="A95" s="401" t="s">
        <v>95</v>
      </c>
      <c r="B95" s="400">
        <v>5659</v>
      </c>
      <c r="C95" s="399">
        <v>5</v>
      </c>
      <c r="D95" s="402" t="s">
        <v>761</v>
      </c>
    </row>
    <row r="96" spans="1:4">
      <c r="A96" s="401" t="s">
        <v>127</v>
      </c>
      <c r="B96" s="400">
        <v>5660</v>
      </c>
      <c r="C96" s="399">
        <v>5</v>
      </c>
      <c r="D96" s="402" t="s">
        <v>761</v>
      </c>
    </row>
    <row r="97" spans="1:4">
      <c r="A97" s="401" t="s">
        <v>794</v>
      </c>
      <c r="B97" s="400">
        <v>5664</v>
      </c>
      <c r="C97" s="399">
        <v>5</v>
      </c>
      <c r="D97" s="402" t="s">
        <v>761</v>
      </c>
    </row>
    <row r="98" spans="1:4">
      <c r="A98" s="401" t="s">
        <v>96</v>
      </c>
      <c r="B98" s="400">
        <v>5665</v>
      </c>
      <c r="C98" s="399">
        <v>5</v>
      </c>
      <c r="D98" s="402" t="s">
        <v>761</v>
      </c>
    </row>
    <row r="99" spans="1:4">
      <c r="A99" s="401" t="s">
        <v>128</v>
      </c>
      <c r="B99" s="400">
        <v>5667</v>
      </c>
      <c r="C99" s="399">
        <v>5</v>
      </c>
      <c r="D99" s="402" t="s">
        <v>761</v>
      </c>
    </row>
    <row r="100" spans="1:4">
      <c r="A100" s="401" t="s">
        <v>97</v>
      </c>
      <c r="B100" s="400">
        <v>5670</v>
      </c>
      <c r="C100" s="399">
        <v>5</v>
      </c>
      <c r="D100" s="402" t="s">
        <v>761</v>
      </c>
    </row>
    <row r="101" spans="1:4">
      <c r="A101" s="401" t="s">
        <v>129</v>
      </c>
      <c r="B101" s="400">
        <v>5674</v>
      </c>
      <c r="C101" s="399">
        <v>5</v>
      </c>
      <c r="D101" s="402" t="s">
        <v>761</v>
      </c>
    </row>
    <row r="102" spans="1:4">
      <c r="A102" s="401" t="s">
        <v>795</v>
      </c>
      <c r="B102" s="400">
        <v>5679</v>
      </c>
      <c r="C102" s="399">
        <v>5</v>
      </c>
      <c r="D102" s="402" t="s">
        <v>761</v>
      </c>
    </row>
    <row r="103" spans="1:4">
      <c r="A103" s="401" t="s">
        <v>796</v>
      </c>
      <c r="B103" s="400">
        <v>5686</v>
      </c>
      <c r="C103" s="399">
        <v>5</v>
      </c>
      <c r="D103" s="402" t="s">
        <v>761</v>
      </c>
    </row>
    <row r="104" spans="1:4">
      <c r="A104" s="401" t="s">
        <v>99</v>
      </c>
      <c r="B104" s="400">
        <v>5690</v>
      </c>
      <c r="C104" s="399">
        <v>5</v>
      </c>
      <c r="D104" s="402" t="s">
        <v>761</v>
      </c>
    </row>
    <row r="105" spans="1:4">
      <c r="A105" s="401" t="s">
        <v>117</v>
      </c>
      <c r="B105" s="400">
        <v>5697</v>
      </c>
      <c r="C105" s="399">
        <v>5</v>
      </c>
      <c r="D105" s="402" t="s">
        <v>761</v>
      </c>
    </row>
    <row r="106" spans="1:4">
      <c r="A106" s="401" t="s">
        <v>100</v>
      </c>
      <c r="B106" s="400">
        <v>5736</v>
      </c>
      <c r="C106" s="399">
        <v>5</v>
      </c>
      <c r="D106" s="402" t="s">
        <v>761</v>
      </c>
    </row>
    <row r="107" spans="1:4">
      <c r="A107" s="401" t="s">
        <v>130</v>
      </c>
      <c r="B107" s="400">
        <v>5756</v>
      </c>
      <c r="C107" s="399">
        <v>5</v>
      </c>
      <c r="D107" s="402" t="s">
        <v>761</v>
      </c>
    </row>
    <row r="108" spans="1:4">
      <c r="A108" s="401" t="s">
        <v>797</v>
      </c>
      <c r="B108" s="400">
        <v>5761</v>
      </c>
      <c r="C108" s="399">
        <v>5</v>
      </c>
      <c r="D108" s="402" t="s">
        <v>761</v>
      </c>
    </row>
    <row r="109" spans="1:4">
      <c r="A109" s="401" t="s">
        <v>101</v>
      </c>
      <c r="B109" s="400">
        <v>5789</v>
      </c>
      <c r="C109" s="399">
        <v>5</v>
      </c>
      <c r="D109" s="402" t="s">
        <v>761</v>
      </c>
    </row>
    <row r="110" spans="1:4">
      <c r="A110" s="401" t="s">
        <v>102</v>
      </c>
      <c r="B110" s="400">
        <v>5790</v>
      </c>
      <c r="C110" s="399">
        <v>5</v>
      </c>
      <c r="D110" s="402" t="s">
        <v>761</v>
      </c>
    </row>
    <row r="111" spans="1:4">
      <c r="A111" s="401" t="s">
        <v>798</v>
      </c>
      <c r="B111" s="400">
        <v>5792</v>
      </c>
      <c r="C111" s="399">
        <v>5</v>
      </c>
      <c r="D111" s="402" t="s">
        <v>761</v>
      </c>
    </row>
    <row r="112" spans="1:4">
      <c r="A112" s="401" t="s">
        <v>799</v>
      </c>
      <c r="B112" s="400">
        <v>5809</v>
      </c>
      <c r="C112" s="399">
        <v>5</v>
      </c>
      <c r="D112" s="402" t="s">
        <v>761</v>
      </c>
    </row>
    <row r="113" spans="1:4">
      <c r="A113" s="401" t="s">
        <v>800</v>
      </c>
      <c r="B113" s="400">
        <v>5819</v>
      </c>
      <c r="C113" s="399">
        <v>5</v>
      </c>
      <c r="D113" s="402" t="s">
        <v>761</v>
      </c>
    </row>
    <row r="114" spans="1:4">
      <c r="A114" s="401" t="s">
        <v>103</v>
      </c>
      <c r="B114" s="400">
        <v>5837</v>
      </c>
      <c r="C114" s="399">
        <v>5</v>
      </c>
      <c r="D114" s="402" t="s">
        <v>761</v>
      </c>
    </row>
    <row r="115" spans="1:4">
      <c r="A115" s="401" t="s">
        <v>801</v>
      </c>
      <c r="B115" s="400">
        <v>5842</v>
      </c>
      <c r="C115" s="399">
        <v>5</v>
      </c>
      <c r="D115" s="402" t="s">
        <v>761</v>
      </c>
    </row>
    <row r="116" spans="1:4">
      <c r="A116" s="401" t="s">
        <v>104</v>
      </c>
      <c r="B116" s="400">
        <v>5847</v>
      </c>
      <c r="C116" s="399">
        <v>5</v>
      </c>
      <c r="D116" s="402" t="s">
        <v>761</v>
      </c>
    </row>
    <row r="117" spans="1:4">
      <c r="A117" s="401" t="s">
        <v>105</v>
      </c>
      <c r="B117" s="400">
        <v>5854</v>
      </c>
      <c r="C117" s="399">
        <v>5</v>
      </c>
      <c r="D117" s="402" t="s">
        <v>761</v>
      </c>
    </row>
    <row r="118" spans="1:4">
      <c r="A118" s="401" t="s">
        <v>802</v>
      </c>
      <c r="B118" s="400">
        <v>5856</v>
      </c>
      <c r="C118" s="399">
        <v>5</v>
      </c>
      <c r="D118" s="402" t="s">
        <v>761</v>
      </c>
    </row>
    <row r="119" spans="1:4">
      <c r="A119" s="401" t="s">
        <v>803</v>
      </c>
      <c r="B119" s="400">
        <v>5858</v>
      </c>
      <c r="C119" s="399">
        <v>5</v>
      </c>
      <c r="D119" s="402" t="s">
        <v>761</v>
      </c>
    </row>
    <row r="120" spans="1:4">
      <c r="A120" s="401" t="s">
        <v>106</v>
      </c>
      <c r="B120" s="400">
        <v>5861</v>
      </c>
      <c r="C120" s="399">
        <v>5</v>
      </c>
      <c r="D120" s="402" t="s">
        <v>761</v>
      </c>
    </row>
    <row r="121" spans="1:4">
      <c r="A121" s="401" t="s">
        <v>107</v>
      </c>
      <c r="B121" s="400">
        <v>5873</v>
      </c>
      <c r="C121" s="399">
        <v>5</v>
      </c>
      <c r="D121" s="402" t="s">
        <v>761</v>
      </c>
    </row>
    <row r="122" spans="1:4">
      <c r="A122" s="401" t="s">
        <v>108</v>
      </c>
      <c r="B122" s="400">
        <v>5885</v>
      </c>
      <c r="C122" s="399">
        <v>5</v>
      </c>
      <c r="D122" s="402" t="s">
        <v>761</v>
      </c>
    </row>
    <row r="123" spans="1:4">
      <c r="A123" s="401" t="s">
        <v>109</v>
      </c>
      <c r="B123" s="400">
        <v>5887</v>
      </c>
      <c r="C123" s="399">
        <v>5</v>
      </c>
      <c r="D123" s="402" t="s">
        <v>761</v>
      </c>
    </row>
    <row r="124" spans="1:4">
      <c r="A124" s="401" t="s">
        <v>804</v>
      </c>
      <c r="B124" s="400">
        <v>5890</v>
      </c>
      <c r="C124" s="399">
        <v>5</v>
      </c>
      <c r="D124" s="402" t="s">
        <v>761</v>
      </c>
    </row>
    <row r="125" spans="1:4">
      <c r="A125" s="401" t="s">
        <v>110</v>
      </c>
      <c r="B125" s="400">
        <v>5893</v>
      </c>
      <c r="C125" s="399">
        <v>5</v>
      </c>
      <c r="D125" s="402" t="s">
        <v>761</v>
      </c>
    </row>
    <row r="126" spans="1:4">
      <c r="A126" s="401" t="s">
        <v>111</v>
      </c>
      <c r="B126" s="400">
        <v>5895</v>
      </c>
      <c r="C126" s="399">
        <v>5</v>
      </c>
      <c r="D126" s="402" t="s">
        <v>761</v>
      </c>
    </row>
    <row r="127" spans="1:4">
      <c r="A127" s="401" t="s">
        <v>132</v>
      </c>
      <c r="B127" s="400">
        <v>8001</v>
      </c>
      <c r="C127" s="399">
        <v>8</v>
      </c>
      <c r="D127" s="402" t="s">
        <v>805</v>
      </c>
    </row>
    <row r="128" spans="1:4">
      <c r="A128" s="401" t="s">
        <v>133</v>
      </c>
      <c r="B128" s="400">
        <v>8078</v>
      </c>
      <c r="C128" s="399">
        <v>8</v>
      </c>
      <c r="D128" s="402" t="s">
        <v>805</v>
      </c>
    </row>
    <row r="129" spans="1:4">
      <c r="A129" s="401" t="s">
        <v>134</v>
      </c>
      <c r="B129" s="400">
        <v>8137</v>
      </c>
      <c r="C129" s="399">
        <v>8</v>
      </c>
      <c r="D129" s="402" t="s">
        <v>805</v>
      </c>
    </row>
    <row r="130" spans="1:4">
      <c r="A130" s="401" t="s">
        <v>135</v>
      </c>
      <c r="B130" s="400">
        <v>8141</v>
      </c>
      <c r="C130" s="399">
        <v>8</v>
      </c>
      <c r="D130" s="402" t="s">
        <v>805</v>
      </c>
    </row>
    <row r="131" spans="1:4">
      <c r="A131" s="401" t="s">
        <v>136</v>
      </c>
      <c r="B131" s="400">
        <v>8296</v>
      </c>
      <c r="C131" s="399">
        <v>8</v>
      </c>
      <c r="D131" s="402" t="s">
        <v>805</v>
      </c>
    </row>
    <row r="132" spans="1:4">
      <c r="A132" s="401" t="s">
        <v>137</v>
      </c>
      <c r="B132" s="400">
        <v>8372</v>
      </c>
      <c r="C132" s="399">
        <v>8</v>
      </c>
      <c r="D132" s="402" t="s">
        <v>805</v>
      </c>
    </row>
    <row r="133" spans="1:4">
      <c r="A133" s="401" t="s">
        <v>138</v>
      </c>
      <c r="B133" s="400">
        <v>8421</v>
      </c>
      <c r="C133" s="399">
        <v>8</v>
      </c>
      <c r="D133" s="402" t="s">
        <v>805</v>
      </c>
    </row>
    <row r="134" spans="1:4">
      <c r="A134" s="401" t="s">
        <v>139</v>
      </c>
      <c r="B134" s="400">
        <v>8433</v>
      </c>
      <c r="C134" s="399">
        <v>8</v>
      </c>
      <c r="D134" s="402" t="s">
        <v>805</v>
      </c>
    </row>
    <row r="135" spans="1:4">
      <c r="A135" s="401" t="s">
        <v>140</v>
      </c>
      <c r="B135" s="400">
        <v>8436</v>
      </c>
      <c r="C135" s="399">
        <v>8</v>
      </c>
      <c r="D135" s="402" t="s">
        <v>805</v>
      </c>
    </row>
    <row r="136" spans="1:4">
      <c r="A136" s="401" t="s">
        <v>141</v>
      </c>
      <c r="B136" s="400">
        <v>8520</v>
      </c>
      <c r="C136" s="399">
        <v>8</v>
      </c>
      <c r="D136" s="402" t="s">
        <v>805</v>
      </c>
    </row>
    <row r="137" spans="1:4">
      <c r="A137" s="401" t="s">
        <v>142</v>
      </c>
      <c r="B137" s="400">
        <v>8549</v>
      </c>
      <c r="C137" s="399">
        <v>8</v>
      </c>
      <c r="D137" s="402" t="s">
        <v>805</v>
      </c>
    </row>
    <row r="138" spans="1:4">
      <c r="A138" s="401" t="s">
        <v>143</v>
      </c>
      <c r="B138" s="400">
        <v>8558</v>
      </c>
      <c r="C138" s="399">
        <v>8</v>
      </c>
      <c r="D138" s="402" t="s">
        <v>805</v>
      </c>
    </row>
    <row r="139" spans="1:4">
      <c r="A139" s="401" t="s">
        <v>144</v>
      </c>
      <c r="B139" s="400">
        <v>8560</v>
      </c>
      <c r="C139" s="399">
        <v>8</v>
      </c>
      <c r="D139" s="402" t="s">
        <v>805</v>
      </c>
    </row>
    <row r="140" spans="1:4">
      <c r="A140" s="401" t="s">
        <v>145</v>
      </c>
      <c r="B140" s="400">
        <v>8573</v>
      </c>
      <c r="C140" s="399">
        <v>8</v>
      </c>
      <c r="D140" s="402" t="s">
        <v>805</v>
      </c>
    </row>
    <row r="141" spans="1:4">
      <c r="A141" s="401" t="s">
        <v>146</v>
      </c>
      <c r="B141" s="400">
        <v>8606</v>
      </c>
      <c r="C141" s="399">
        <v>8</v>
      </c>
      <c r="D141" s="402" t="s">
        <v>805</v>
      </c>
    </row>
    <row r="142" spans="1:4">
      <c r="A142" s="401" t="s">
        <v>147</v>
      </c>
      <c r="B142" s="400">
        <v>8634</v>
      </c>
      <c r="C142" s="399">
        <v>8</v>
      </c>
      <c r="D142" s="402" t="s">
        <v>805</v>
      </c>
    </row>
    <row r="143" spans="1:4">
      <c r="A143" s="401" t="s">
        <v>148</v>
      </c>
      <c r="B143" s="400">
        <v>8638</v>
      </c>
      <c r="C143" s="399">
        <v>8</v>
      </c>
      <c r="D143" s="402" t="s">
        <v>805</v>
      </c>
    </row>
    <row r="144" spans="1:4">
      <c r="A144" s="401" t="s">
        <v>149</v>
      </c>
      <c r="B144" s="400">
        <v>8675</v>
      </c>
      <c r="C144" s="399">
        <v>8</v>
      </c>
      <c r="D144" s="402" t="s">
        <v>805</v>
      </c>
    </row>
    <row r="145" spans="1:4">
      <c r="A145" s="401" t="s">
        <v>150</v>
      </c>
      <c r="B145" s="400">
        <v>8685</v>
      </c>
      <c r="C145" s="399">
        <v>8</v>
      </c>
      <c r="D145" s="402" t="s">
        <v>805</v>
      </c>
    </row>
    <row r="146" spans="1:4">
      <c r="A146" s="401" t="s">
        <v>151</v>
      </c>
      <c r="B146" s="400">
        <v>8758</v>
      </c>
      <c r="C146" s="399">
        <v>8</v>
      </c>
      <c r="D146" s="402" t="s">
        <v>805</v>
      </c>
    </row>
    <row r="147" spans="1:4">
      <c r="A147" s="401" t="s">
        <v>152</v>
      </c>
      <c r="B147" s="400">
        <v>8770</v>
      </c>
      <c r="C147" s="399">
        <v>8</v>
      </c>
      <c r="D147" s="402" t="s">
        <v>805</v>
      </c>
    </row>
    <row r="148" spans="1:4">
      <c r="A148" s="401" t="s">
        <v>153</v>
      </c>
      <c r="B148" s="400">
        <v>8832</v>
      </c>
      <c r="C148" s="399">
        <v>8</v>
      </c>
      <c r="D148" s="402" t="s">
        <v>805</v>
      </c>
    </row>
    <row r="149" spans="1:4">
      <c r="A149" s="401" t="s">
        <v>154</v>
      </c>
      <c r="B149" s="400">
        <v>8849</v>
      </c>
      <c r="C149" s="399">
        <v>8</v>
      </c>
      <c r="D149" s="402" t="s">
        <v>805</v>
      </c>
    </row>
    <row r="150" spans="1:4">
      <c r="A150" s="401" t="s">
        <v>755</v>
      </c>
      <c r="B150" s="400">
        <v>11001</v>
      </c>
      <c r="C150" s="399">
        <v>11</v>
      </c>
      <c r="D150" s="402" t="s">
        <v>755</v>
      </c>
    </row>
    <row r="151" spans="1:4">
      <c r="A151" s="401" t="s">
        <v>156</v>
      </c>
      <c r="B151" s="400">
        <v>13001</v>
      </c>
      <c r="C151" s="399">
        <v>13</v>
      </c>
      <c r="D151" s="402" t="s">
        <v>663</v>
      </c>
    </row>
    <row r="152" spans="1:4">
      <c r="A152" s="401" t="s">
        <v>157</v>
      </c>
      <c r="B152" s="400">
        <v>13006</v>
      </c>
      <c r="C152" s="399">
        <v>13</v>
      </c>
      <c r="D152" s="402" t="s">
        <v>663</v>
      </c>
    </row>
    <row r="153" spans="1:4">
      <c r="A153" s="401" t="s">
        <v>158</v>
      </c>
      <c r="B153" s="400">
        <v>13030</v>
      </c>
      <c r="C153" s="399">
        <v>13</v>
      </c>
      <c r="D153" s="402" t="s">
        <v>663</v>
      </c>
    </row>
    <row r="154" spans="1:4">
      <c r="A154" s="401" t="s">
        <v>806</v>
      </c>
      <c r="B154" s="400">
        <v>13042</v>
      </c>
      <c r="C154" s="399">
        <v>13</v>
      </c>
      <c r="D154" s="402" t="s">
        <v>663</v>
      </c>
    </row>
    <row r="155" spans="1:4">
      <c r="A155" s="401" t="s">
        <v>159</v>
      </c>
      <c r="B155" s="400">
        <v>13052</v>
      </c>
      <c r="C155" s="399">
        <v>13</v>
      </c>
      <c r="D155" s="402" t="s">
        <v>663</v>
      </c>
    </row>
    <row r="156" spans="1:4">
      <c r="A156" s="401" t="s">
        <v>160</v>
      </c>
      <c r="B156" s="400">
        <v>13062</v>
      </c>
      <c r="C156" s="399">
        <v>13</v>
      </c>
      <c r="D156" s="402" t="s">
        <v>663</v>
      </c>
    </row>
    <row r="157" spans="1:4">
      <c r="A157" s="401" t="s">
        <v>161</v>
      </c>
      <c r="B157" s="400">
        <v>13074</v>
      </c>
      <c r="C157" s="399">
        <v>13</v>
      </c>
      <c r="D157" s="402" t="s">
        <v>663</v>
      </c>
    </row>
    <row r="158" spans="1:4">
      <c r="A158" s="403" t="s">
        <v>162</v>
      </c>
      <c r="B158" s="400">
        <v>13140</v>
      </c>
      <c r="C158" s="399">
        <v>13</v>
      </c>
      <c r="D158" s="402" t="s">
        <v>663</v>
      </c>
    </row>
    <row r="159" spans="1:4">
      <c r="A159" s="401" t="s">
        <v>163</v>
      </c>
      <c r="B159" s="400">
        <v>13160</v>
      </c>
      <c r="C159" s="399">
        <v>13</v>
      </c>
      <c r="D159" s="402" t="s">
        <v>663</v>
      </c>
    </row>
    <row r="160" spans="1:4">
      <c r="A160" s="401" t="s">
        <v>807</v>
      </c>
      <c r="B160" s="400">
        <v>13188</v>
      </c>
      <c r="C160" s="399">
        <v>13</v>
      </c>
      <c r="D160" s="402" t="s">
        <v>663</v>
      </c>
    </row>
    <row r="161" spans="1:4">
      <c r="A161" s="401" t="s">
        <v>564</v>
      </c>
      <c r="B161" s="400">
        <v>13212</v>
      </c>
      <c r="C161" s="399">
        <v>13</v>
      </c>
      <c r="D161" s="402" t="s">
        <v>663</v>
      </c>
    </row>
    <row r="162" spans="1:4">
      <c r="A162" s="401" t="s">
        <v>164</v>
      </c>
      <c r="B162" s="400">
        <v>13222</v>
      </c>
      <c r="C162" s="399">
        <v>13</v>
      </c>
      <c r="D162" s="402" t="s">
        <v>663</v>
      </c>
    </row>
    <row r="163" spans="1:4">
      <c r="A163" s="401" t="s">
        <v>165</v>
      </c>
      <c r="B163" s="400">
        <v>13244</v>
      </c>
      <c r="C163" s="399">
        <v>13</v>
      </c>
      <c r="D163" s="402" t="s">
        <v>663</v>
      </c>
    </row>
    <row r="164" spans="1:4">
      <c r="A164" s="401" t="s">
        <v>808</v>
      </c>
      <c r="B164" s="400">
        <v>13248</v>
      </c>
      <c r="C164" s="399">
        <v>13</v>
      </c>
      <c r="D164" s="402" t="s">
        <v>663</v>
      </c>
    </row>
    <row r="165" spans="1:4">
      <c r="A165" s="401" t="s">
        <v>809</v>
      </c>
      <c r="B165" s="400">
        <v>13268</v>
      </c>
      <c r="C165" s="399">
        <v>13</v>
      </c>
      <c r="D165" s="402" t="s">
        <v>663</v>
      </c>
    </row>
    <row r="166" spans="1:4">
      <c r="A166" s="401" t="s">
        <v>810</v>
      </c>
      <c r="B166" s="400">
        <v>13300</v>
      </c>
      <c r="C166" s="399">
        <v>13</v>
      </c>
      <c r="D166" s="402" t="s">
        <v>663</v>
      </c>
    </row>
    <row r="167" spans="1:4">
      <c r="A167" s="401" t="s">
        <v>166</v>
      </c>
      <c r="B167" s="400">
        <v>13430</v>
      </c>
      <c r="C167" s="399">
        <v>13</v>
      </c>
      <c r="D167" s="402" t="s">
        <v>663</v>
      </c>
    </row>
    <row r="168" spans="1:4">
      <c r="A168" s="401" t="s">
        <v>167</v>
      </c>
      <c r="B168" s="400">
        <v>13433</v>
      </c>
      <c r="C168" s="399">
        <v>13</v>
      </c>
      <c r="D168" s="402" t="s">
        <v>663</v>
      </c>
    </row>
    <row r="169" spans="1:4">
      <c r="A169" s="401" t="s">
        <v>811</v>
      </c>
      <c r="B169" s="400">
        <v>13440</v>
      </c>
      <c r="C169" s="399">
        <v>13</v>
      </c>
      <c r="D169" s="402" t="s">
        <v>663</v>
      </c>
    </row>
    <row r="170" spans="1:4">
      <c r="A170" s="401" t="s">
        <v>168</v>
      </c>
      <c r="B170" s="400">
        <v>13442</v>
      </c>
      <c r="C170" s="399">
        <v>13</v>
      </c>
      <c r="D170" s="402" t="s">
        <v>663</v>
      </c>
    </row>
    <row r="171" spans="1:4">
      <c r="A171" s="401" t="s">
        <v>170</v>
      </c>
      <c r="B171" s="400">
        <v>13458</v>
      </c>
      <c r="C171" s="399">
        <v>13</v>
      </c>
      <c r="D171" s="402" t="s">
        <v>663</v>
      </c>
    </row>
    <row r="172" spans="1:4">
      <c r="A172" s="401" t="s">
        <v>169</v>
      </c>
      <c r="B172" s="400">
        <v>13468</v>
      </c>
      <c r="C172" s="399">
        <v>13</v>
      </c>
      <c r="D172" s="402" t="s">
        <v>663</v>
      </c>
    </row>
    <row r="173" spans="1:4">
      <c r="A173" s="401" t="s">
        <v>171</v>
      </c>
      <c r="B173" s="400">
        <v>13473</v>
      </c>
      <c r="C173" s="399">
        <v>13</v>
      </c>
      <c r="D173" s="402" t="s">
        <v>663</v>
      </c>
    </row>
    <row r="174" spans="1:4">
      <c r="A174" s="401" t="s">
        <v>812</v>
      </c>
      <c r="B174" s="400">
        <v>13490</v>
      </c>
      <c r="C174" s="399">
        <v>13</v>
      </c>
      <c r="D174" s="402" t="s">
        <v>663</v>
      </c>
    </row>
    <row r="175" spans="1:4">
      <c r="A175" s="401" t="s">
        <v>813</v>
      </c>
      <c r="B175" s="400">
        <v>13549</v>
      </c>
      <c r="C175" s="399">
        <v>13</v>
      </c>
      <c r="D175" s="402" t="s">
        <v>663</v>
      </c>
    </row>
    <row r="176" spans="1:4">
      <c r="A176" s="401" t="s">
        <v>814</v>
      </c>
      <c r="B176" s="400">
        <v>13580</v>
      </c>
      <c r="C176" s="399">
        <v>13</v>
      </c>
      <c r="D176" s="402" t="s">
        <v>663</v>
      </c>
    </row>
    <row r="177" spans="1:4">
      <c r="A177" s="401" t="s">
        <v>815</v>
      </c>
      <c r="B177" s="400">
        <v>13600</v>
      </c>
      <c r="C177" s="399">
        <v>13</v>
      </c>
      <c r="D177" s="402" t="s">
        <v>663</v>
      </c>
    </row>
    <row r="178" spans="1:4">
      <c r="A178" s="401" t="s">
        <v>172</v>
      </c>
      <c r="B178" s="400">
        <v>13620</v>
      </c>
      <c r="C178" s="399">
        <v>13</v>
      </c>
      <c r="D178" s="402" t="s">
        <v>663</v>
      </c>
    </row>
    <row r="179" spans="1:4">
      <c r="A179" s="401" t="s">
        <v>816</v>
      </c>
      <c r="B179" s="400">
        <v>13647</v>
      </c>
      <c r="C179" s="399">
        <v>13</v>
      </c>
      <c r="D179" s="402" t="s">
        <v>663</v>
      </c>
    </row>
    <row r="180" spans="1:4">
      <c r="A180" s="401" t="s">
        <v>817</v>
      </c>
      <c r="B180" s="400">
        <v>13650</v>
      </c>
      <c r="C180" s="399">
        <v>13</v>
      </c>
      <c r="D180" s="402" t="s">
        <v>663</v>
      </c>
    </row>
    <row r="181" spans="1:4">
      <c r="A181" s="401" t="s">
        <v>173</v>
      </c>
      <c r="B181" s="400">
        <v>13654</v>
      </c>
      <c r="C181" s="399">
        <v>13</v>
      </c>
      <c r="D181" s="402" t="s">
        <v>663</v>
      </c>
    </row>
    <row r="182" spans="1:4">
      <c r="A182" s="401" t="s">
        <v>818</v>
      </c>
      <c r="B182" s="400">
        <v>13655</v>
      </c>
      <c r="C182" s="399">
        <v>13</v>
      </c>
      <c r="D182" s="402" t="s">
        <v>663</v>
      </c>
    </row>
    <row r="183" spans="1:4">
      <c r="A183" s="401" t="s">
        <v>174</v>
      </c>
      <c r="B183" s="400">
        <v>13657</v>
      </c>
      <c r="C183" s="399">
        <v>13</v>
      </c>
      <c r="D183" s="402" t="s">
        <v>663</v>
      </c>
    </row>
    <row r="184" spans="1:4">
      <c r="A184" s="401" t="s">
        <v>819</v>
      </c>
      <c r="B184" s="400">
        <v>13667</v>
      </c>
      <c r="C184" s="399">
        <v>13</v>
      </c>
      <c r="D184" s="402" t="s">
        <v>663</v>
      </c>
    </row>
    <row r="185" spans="1:4">
      <c r="A185" s="401" t="s">
        <v>175</v>
      </c>
      <c r="B185" s="400">
        <v>13670</v>
      </c>
      <c r="C185" s="399">
        <v>13</v>
      </c>
      <c r="D185" s="402" t="s">
        <v>663</v>
      </c>
    </row>
    <row r="186" spans="1:4">
      <c r="A186" s="401" t="s">
        <v>176</v>
      </c>
      <c r="B186" s="400">
        <v>13673</v>
      </c>
      <c r="C186" s="399">
        <v>13</v>
      </c>
      <c r="D186" s="402" t="s">
        <v>663</v>
      </c>
    </row>
    <row r="187" spans="1:4">
      <c r="A187" s="401" t="s">
        <v>177</v>
      </c>
      <c r="B187" s="400">
        <v>13683</v>
      </c>
      <c r="C187" s="399">
        <v>13</v>
      </c>
      <c r="D187" s="402" t="s">
        <v>663</v>
      </c>
    </row>
    <row r="188" spans="1:4">
      <c r="A188" s="401" t="s">
        <v>178</v>
      </c>
      <c r="B188" s="400">
        <v>13688</v>
      </c>
      <c r="C188" s="399">
        <v>13</v>
      </c>
      <c r="D188" s="402" t="s">
        <v>663</v>
      </c>
    </row>
    <row r="189" spans="1:4">
      <c r="A189" s="401" t="s">
        <v>179</v>
      </c>
      <c r="B189" s="400">
        <v>13744</v>
      </c>
      <c r="C189" s="399">
        <v>13</v>
      </c>
      <c r="D189" s="402" t="s">
        <v>663</v>
      </c>
    </row>
    <row r="190" spans="1:4">
      <c r="A190" s="401" t="s">
        <v>180</v>
      </c>
      <c r="B190" s="400">
        <v>13760</v>
      </c>
      <c r="C190" s="399">
        <v>13</v>
      </c>
      <c r="D190" s="402" t="s">
        <v>663</v>
      </c>
    </row>
    <row r="191" spans="1:4">
      <c r="A191" s="401" t="s">
        <v>181</v>
      </c>
      <c r="B191" s="400">
        <v>13780</v>
      </c>
      <c r="C191" s="399">
        <v>13</v>
      </c>
      <c r="D191" s="402" t="s">
        <v>663</v>
      </c>
    </row>
    <row r="192" spans="1:4">
      <c r="A192" s="401" t="s">
        <v>182</v>
      </c>
      <c r="B192" s="400">
        <v>13810</v>
      </c>
      <c r="C192" s="399">
        <v>13</v>
      </c>
      <c r="D192" s="402" t="s">
        <v>663</v>
      </c>
    </row>
    <row r="193" spans="1:4">
      <c r="A193" s="401" t="s">
        <v>183</v>
      </c>
      <c r="B193" s="400">
        <v>13836</v>
      </c>
      <c r="C193" s="399">
        <v>13</v>
      </c>
      <c r="D193" s="402" t="s">
        <v>663</v>
      </c>
    </row>
    <row r="194" spans="1:4">
      <c r="A194" s="401" t="s">
        <v>820</v>
      </c>
      <c r="B194" s="400">
        <v>13838</v>
      </c>
      <c r="C194" s="399">
        <v>13</v>
      </c>
      <c r="D194" s="402" t="s">
        <v>663</v>
      </c>
    </row>
    <row r="195" spans="1:4">
      <c r="A195" s="401" t="s">
        <v>184</v>
      </c>
      <c r="B195" s="400">
        <v>13873</v>
      </c>
      <c r="C195" s="399">
        <v>13</v>
      </c>
      <c r="D195" s="402" t="s">
        <v>663</v>
      </c>
    </row>
    <row r="196" spans="1:4">
      <c r="A196" s="401" t="s">
        <v>821</v>
      </c>
      <c r="B196" s="400">
        <v>13894</v>
      </c>
      <c r="C196" s="399">
        <v>13</v>
      </c>
      <c r="D196" s="402" t="s">
        <v>663</v>
      </c>
    </row>
    <row r="197" spans="1:4">
      <c r="A197" s="401" t="s">
        <v>186</v>
      </c>
      <c r="B197" s="400">
        <v>15001</v>
      </c>
      <c r="C197" s="399">
        <v>15</v>
      </c>
      <c r="D197" s="402" t="s">
        <v>822</v>
      </c>
    </row>
    <row r="198" spans="1:4">
      <c r="A198" s="401" t="s">
        <v>823</v>
      </c>
      <c r="B198" s="400">
        <v>15022</v>
      </c>
      <c r="C198" s="399">
        <v>15</v>
      </c>
      <c r="D198" s="402" t="s">
        <v>822</v>
      </c>
    </row>
    <row r="199" spans="1:4">
      <c r="A199" s="401" t="s">
        <v>187</v>
      </c>
      <c r="B199" s="400">
        <v>15047</v>
      </c>
      <c r="C199" s="399">
        <v>15</v>
      </c>
      <c r="D199" s="402" t="s">
        <v>822</v>
      </c>
    </row>
    <row r="200" spans="1:4">
      <c r="A200" s="401" t="s">
        <v>824</v>
      </c>
      <c r="B200" s="400">
        <v>15051</v>
      </c>
      <c r="C200" s="399">
        <v>15</v>
      </c>
      <c r="D200" s="402" t="s">
        <v>822</v>
      </c>
    </row>
    <row r="201" spans="1:4">
      <c r="A201" s="401" t="s">
        <v>825</v>
      </c>
      <c r="B201" s="400">
        <v>15087</v>
      </c>
      <c r="C201" s="399">
        <v>15</v>
      </c>
      <c r="D201" s="402" t="s">
        <v>822</v>
      </c>
    </row>
    <row r="202" spans="1:4">
      <c r="A202" s="401" t="s">
        <v>826</v>
      </c>
      <c r="B202" s="400">
        <v>15090</v>
      </c>
      <c r="C202" s="399">
        <v>15</v>
      </c>
      <c r="D202" s="402" t="s">
        <v>822</v>
      </c>
    </row>
    <row r="203" spans="1:4">
      <c r="A203" s="401" t="s">
        <v>827</v>
      </c>
      <c r="B203" s="400">
        <v>15092</v>
      </c>
      <c r="C203" s="399">
        <v>15</v>
      </c>
      <c r="D203" s="402" t="s">
        <v>822</v>
      </c>
    </row>
    <row r="204" spans="1:4">
      <c r="A204" s="401" t="s">
        <v>828</v>
      </c>
      <c r="B204" s="400">
        <v>15097</v>
      </c>
      <c r="C204" s="399">
        <v>15</v>
      </c>
      <c r="D204" s="402" t="s">
        <v>822</v>
      </c>
    </row>
    <row r="205" spans="1:4">
      <c r="A205" s="401" t="s">
        <v>822</v>
      </c>
      <c r="B205" s="400">
        <v>15104</v>
      </c>
      <c r="C205" s="399">
        <v>15</v>
      </c>
      <c r="D205" s="402" t="s">
        <v>822</v>
      </c>
    </row>
    <row r="206" spans="1:4">
      <c r="A206" s="401" t="s">
        <v>58</v>
      </c>
      <c r="B206" s="400">
        <v>15106</v>
      </c>
      <c r="C206" s="399">
        <v>15</v>
      </c>
      <c r="D206" s="402" t="s">
        <v>822</v>
      </c>
    </row>
    <row r="207" spans="1:4">
      <c r="A207" s="401" t="s">
        <v>829</v>
      </c>
      <c r="B207" s="400">
        <v>15109</v>
      </c>
      <c r="C207" s="399">
        <v>15</v>
      </c>
      <c r="D207" s="402" t="s">
        <v>822</v>
      </c>
    </row>
    <row r="208" spans="1:4">
      <c r="A208" s="401" t="s">
        <v>830</v>
      </c>
      <c r="B208" s="400">
        <v>15114</v>
      </c>
      <c r="C208" s="399">
        <v>15</v>
      </c>
      <c r="D208" s="402" t="s">
        <v>822</v>
      </c>
    </row>
    <row r="209" spans="1:4">
      <c r="A209" s="401" t="s">
        <v>831</v>
      </c>
      <c r="B209" s="400">
        <v>15131</v>
      </c>
      <c r="C209" s="399">
        <v>15</v>
      </c>
      <c r="D209" s="402" t="s">
        <v>822</v>
      </c>
    </row>
    <row r="210" spans="1:4">
      <c r="A210" s="401" t="s">
        <v>832</v>
      </c>
      <c r="B210" s="400">
        <v>15135</v>
      </c>
      <c r="C210" s="399">
        <v>15</v>
      </c>
      <c r="D210" s="402" t="s">
        <v>822</v>
      </c>
    </row>
    <row r="211" spans="1:4">
      <c r="A211" s="401" t="s">
        <v>833</v>
      </c>
      <c r="B211" s="400">
        <v>15162</v>
      </c>
      <c r="C211" s="399">
        <v>15</v>
      </c>
      <c r="D211" s="402" t="s">
        <v>822</v>
      </c>
    </row>
    <row r="212" spans="1:4">
      <c r="A212" s="401" t="s">
        <v>834</v>
      </c>
      <c r="B212" s="400">
        <v>15172</v>
      </c>
      <c r="C212" s="399">
        <v>15</v>
      </c>
      <c r="D212" s="402" t="s">
        <v>822</v>
      </c>
    </row>
    <row r="213" spans="1:4">
      <c r="A213" s="401" t="s">
        <v>188</v>
      </c>
      <c r="B213" s="400">
        <v>15176</v>
      </c>
      <c r="C213" s="399">
        <v>15</v>
      </c>
      <c r="D213" s="402" t="s">
        <v>822</v>
      </c>
    </row>
    <row r="214" spans="1:4">
      <c r="A214" s="401" t="s">
        <v>835</v>
      </c>
      <c r="B214" s="400">
        <v>15180</v>
      </c>
      <c r="C214" s="399">
        <v>15</v>
      </c>
      <c r="D214" s="402" t="s">
        <v>822</v>
      </c>
    </row>
    <row r="215" spans="1:4">
      <c r="A215" s="401" t="s">
        <v>836</v>
      </c>
      <c r="B215" s="400">
        <v>15183</v>
      </c>
      <c r="C215" s="399">
        <v>15</v>
      </c>
      <c r="D215" s="402" t="s">
        <v>822</v>
      </c>
    </row>
    <row r="216" spans="1:4">
      <c r="A216" s="401" t="s">
        <v>837</v>
      </c>
      <c r="B216" s="400">
        <v>15185</v>
      </c>
      <c r="C216" s="399">
        <v>15</v>
      </c>
      <c r="D216" s="402" t="s">
        <v>822</v>
      </c>
    </row>
    <row r="217" spans="1:4">
      <c r="A217" s="401" t="s">
        <v>838</v>
      </c>
      <c r="B217" s="400">
        <v>15187</v>
      </c>
      <c r="C217" s="399">
        <v>15</v>
      </c>
      <c r="D217" s="402" t="s">
        <v>822</v>
      </c>
    </row>
    <row r="218" spans="1:4">
      <c r="A218" s="401" t="s">
        <v>839</v>
      </c>
      <c r="B218" s="400">
        <v>15189</v>
      </c>
      <c r="C218" s="399">
        <v>15</v>
      </c>
      <c r="D218" s="402" t="s">
        <v>822</v>
      </c>
    </row>
    <row r="219" spans="1:4">
      <c r="A219" s="401" t="s">
        <v>189</v>
      </c>
      <c r="B219" s="400">
        <v>15204</v>
      </c>
      <c r="C219" s="399">
        <v>15</v>
      </c>
      <c r="D219" s="402" t="s">
        <v>822</v>
      </c>
    </row>
    <row r="220" spans="1:4">
      <c r="A220" s="401" t="s">
        <v>840</v>
      </c>
      <c r="B220" s="400">
        <v>15212</v>
      </c>
      <c r="C220" s="399">
        <v>15</v>
      </c>
      <c r="D220" s="402" t="s">
        <v>822</v>
      </c>
    </row>
    <row r="221" spans="1:4">
      <c r="A221" s="401" t="s">
        <v>190</v>
      </c>
      <c r="B221" s="400">
        <v>15215</v>
      </c>
      <c r="C221" s="399">
        <v>15</v>
      </c>
      <c r="D221" s="402" t="s">
        <v>822</v>
      </c>
    </row>
    <row r="222" spans="1:4">
      <c r="A222" s="401" t="s">
        <v>191</v>
      </c>
      <c r="B222" s="400">
        <v>15218</v>
      </c>
      <c r="C222" s="399">
        <v>15</v>
      </c>
      <c r="D222" s="402" t="s">
        <v>822</v>
      </c>
    </row>
    <row r="223" spans="1:4">
      <c r="A223" s="401" t="s">
        <v>841</v>
      </c>
      <c r="B223" s="400">
        <v>15223</v>
      </c>
      <c r="C223" s="399">
        <v>15</v>
      </c>
      <c r="D223" s="402" t="s">
        <v>822</v>
      </c>
    </row>
    <row r="224" spans="1:4">
      <c r="A224" s="401" t="s">
        <v>192</v>
      </c>
      <c r="B224" s="400">
        <v>15224</v>
      </c>
      <c r="C224" s="399">
        <v>15</v>
      </c>
      <c r="D224" s="402" t="s">
        <v>822</v>
      </c>
    </row>
    <row r="225" spans="1:4">
      <c r="A225" s="401" t="s">
        <v>193</v>
      </c>
      <c r="B225" s="400">
        <v>15226</v>
      </c>
      <c r="C225" s="399">
        <v>15</v>
      </c>
      <c r="D225" s="402" t="s">
        <v>822</v>
      </c>
    </row>
    <row r="226" spans="1:4">
      <c r="A226" s="401" t="s">
        <v>842</v>
      </c>
      <c r="B226" s="400">
        <v>15232</v>
      </c>
      <c r="C226" s="399">
        <v>15</v>
      </c>
      <c r="D226" s="402" t="s">
        <v>822</v>
      </c>
    </row>
    <row r="227" spans="1:4">
      <c r="A227" s="401" t="s">
        <v>843</v>
      </c>
      <c r="B227" s="400">
        <v>15236</v>
      </c>
      <c r="C227" s="399">
        <v>15</v>
      </c>
      <c r="D227" s="402" t="s">
        <v>822</v>
      </c>
    </row>
    <row r="228" spans="1:4">
      <c r="A228" s="401" t="s">
        <v>194</v>
      </c>
      <c r="B228" s="400">
        <v>15238</v>
      </c>
      <c r="C228" s="399">
        <v>15</v>
      </c>
      <c r="D228" s="402" t="s">
        <v>822</v>
      </c>
    </row>
    <row r="229" spans="1:4">
      <c r="A229" s="401" t="s">
        <v>195</v>
      </c>
      <c r="B229" s="400">
        <v>15244</v>
      </c>
      <c r="C229" s="399">
        <v>15</v>
      </c>
      <c r="D229" s="402" t="s">
        <v>822</v>
      </c>
    </row>
    <row r="230" spans="1:4">
      <c r="A230" s="401" t="s">
        <v>196</v>
      </c>
      <c r="B230" s="400">
        <v>15248</v>
      </c>
      <c r="C230" s="399">
        <v>15</v>
      </c>
      <c r="D230" s="402" t="s">
        <v>822</v>
      </c>
    </row>
    <row r="231" spans="1:4">
      <c r="A231" s="401" t="s">
        <v>197</v>
      </c>
      <c r="B231" s="400">
        <v>15272</v>
      </c>
      <c r="C231" s="399">
        <v>15</v>
      </c>
      <c r="D231" s="402" t="s">
        <v>822</v>
      </c>
    </row>
    <row r="232" spans="1:4">
      <c r="A232" s="401" t="s">
        <v>198</v>
      </c>
      <c r="B232" s="400">
        <v>15276</v>
      </c>
      <c r="C232" s="399">
        <v>15</v>
      </c>
      <c r="D232" s="402" t="s">
        <v>822</v>
      </c>
    </row>
    <row r="233" spans="1:4">
      <c r="A233" s="401" t="s">
        <v>199</v>
      </c>
      <c r="B233" s="400">
        <v>15293</v>
      </c>
      <c r="C233" s="399">
        <v>15</v>
      </c>
      <c r="D233" s="402" t="s">
        <v>822</v>
      </c>
    </row>
    <row r="234" spans="1:4">
      <c r="A234" s="401" t="s">
        <v>200</v>
      </c>
      <c r="B234" s="400">
        <v>15296</v>
      </c>
      <c r="C234" s="399">
        <v>15</v>
      </c>
      <c r="D234" s="402" t="s">
        <v>822</v>
      </c>
    </row>
    <row r="235" spans="1:4">
      <c r="A235" s="401" t="s">
        <v>201</v>
      </c>
      <c r="B235" s="400">
        <v>15299</v>
      </c>
      <c r="C235" s="399">
        <v>15</v>
      </c>
      <c r="D235" s="402" t="s">
        <v>822</v>
      </c>
    </row>
    <row r="236" spans="1:4">
      <c r="A236" s="401" t="s">
        <v>844</v>
      </c>
      <c r="B236" s="400">
        <v>15317</v>
      </c>
      <c r="C236" s="399">
        <v>15</v>
      </c>
      <c r="D236" s="402" t="s">
        <v>822</v>
      </c>
    </row>
    <row r="237" spans="1:4">
      <c r="A237" s="401" t="s">
        <v>202</v>
      </c>
      <c r="B237" s="400">
        <v>15322</v>
      </c>
      <c r="C237" s="399">
        <v>15</v>
      </c>
      <c r="D237" s="402" t="s">
        <v>822</v>
      </c>
    </row>
    <row r="238" spans="1:4">
      <c r="A238" s="401" t="s">
        <v>845</v>
      </c>
      <c r="B238" s="400">
        <v>15325</v>
      </c>
      <c r="C238" s="399">
        <v>15</v>
      </c>
      <c r="D238" s="402" t="s">
        <v>822</v>
      </c>
    </row>
    <row r="239" spans="1:4">
      <c r="A239" s="401" t="s">
        <v>846</v>
      </c>
      <c r="B239" s="400">
        <v>15332</v>
      </c>
      <c r="C239" s="399">
        <v>15</v>
      </c>
      <c r="D239" s="402" t="s">
        <v>822</v>
      </c>
    </row>
    <row r="240" spans="1:4">
      <c r="A240" s="401" t="s">
        <v>847</v>
      </c>
      <c r="B240" s="400">
        <v>15362</v>
      </c>
      <c r="C240" s="399">
        <v>15</v>
      </c>
      <c r="D240" s="402" t="s">
        <v>822</v>
      </c>
    </row>
    <row r="241" spans="1:4">
      <c r="A241" s="401" t="s">
        <v>848</v>
      </c>
      <c r="B241" s="400">
        <v>15367</v>
      </c>
      <c r="C241" s="399">
        <v>15</v>
      </c>
      <c r="D241" s="402" t="s">
        <v>822</v>
      </c>
    </row>
    <row r="242" spans="1:4">
      <c r="A242" s="401" t="s">
        <v>1361</v>
      </c>
      <c r="B242" s="400">
        <v>15368</v>
      </c>
      <c r="C242" s="399">
        <v>15</v>
      </c>
      <c r="D242" s="402" t="s">
        <v>822</v>
      </c>
    </row>
    <row r="243" spans="1:4">
      <c r="A243" s="401" t="s">
        <v>849</v>
      </c>
      <c r="B243" s="400">
        <v>15377</v>
      </c>
      <c r="C243" s="399">
        <v>15</v>
      </c>
      <c r="D243" s="402" t="s">
        <v>822</v>
      </c>
    </row>
    <row r="244" spans="1:4">
      <c r="A244" s="401" t="s">
        <v>850</v>
      </c>
      <c r="B244" s="400">
        <v>15380</v>
      </c>
      <c r="C244" s="399">
        <v>15</v>
      </c>
      <c r="D244" s="402" t="s">
        <v>822</v>
      </c>
    </row>
    <row r="245" spans="1:4">
      <c r="A245" s="401" t="s">
        <v>851</v>
      </c>
      <c r="B245" s="400">
        <v>15401</v>
      </c>
      <c r="C245" s="399">
        <v>15</v>
      </c>
      <c r="D245" s="402" t="s">
        <v>822</v>
      </c>
    </row>
    <row r="246" spans="1:4">
      <c r="A246" s="401" t="s">
        <v>852</v>
      </c>
      <c r="B246" s="400">
        <v>15403</v>
      </c>
      <c r="C246" s="399">
        <v>15</v>
      </c>
      <c r="D246" s="402" t="s">
        <v>822</v>
      </c>
    </row>
    <row r="247" spans="1:4">
      <c r="A247" s="401" t="s">
        <v>216</v>
      </c>
      <c r="B247" s="400">
        <v>15407</v>
      </c>
      <c r="C247" s="399">
        <v>15</v>
      </c>
      <c r="D247" s="402" t="s">
        <v>822</v>
      </c>
    </row>
    <row r="248" spans="1:4">
      <c r="A248" s="401" t="s">
        <v>853</v>
      </c>
      <c r="B248" s="400">
        <v>15425</v>
      </c>
      <c r="C248" s="399">
        <v>15</v>
      </c>
      <c r="D248" s="402" t="s">
        <v>822</v>
      </c>
    </row>
    <row r="249" spans="1:4">
      <c r="A249" s="401" t="s">
        <v>854</v>
      </c>
      <c r="B249" s="400">
        <v>15442</v>
      </c>
      <c r="C249" s="399">
        <v>15</v>
      </c>
      <c r="D249" s="402" t="s">
        <v>822</v>
      </c>
    </row>
    <row r="250" spans="1:4">
      <c r="A250" s="401" t="s">
        <v>855</v>
      </c>
      <c r="B250" s="400">
        <v>15455</v>
      </c>
      <c r="C250" s="399">
        <v>15</v>
      </c>
      <c r="D250" s="402" t="s">
        <v>822</v>
      </c>
    </row>
    <row r="251" spans="1:4">
      <c r="A251" s="401" t="s">
        <v>856</v>
      </c>
      <c r="B251" s="400">
        <v>15464</v>
      </c>
      <c r="C251" s="399">
        <v>15</v>
      </c>
      <c r="D251" s="402" t="s">
        <v>822</v>
      </c>
    </row>
    <row r="252" spans="1:4">
      <c r="A252" s="401" t="s">
        <v>857</v>
      </c>
      <c r="B252" s="400">
        <v>15466</v>
      </c>
      <c r="C252" s="399">
        <v>15</v>
      </c>
      <c r="D252" s="402" t="s">
        <v>822</v>
      </c>
    </row>
    <row r="253" spans="1:4">
      <c r="A253" s="401" t="s">
        <v>203</v>
      </c>
      <c r="B253" s="400">
        <v>15469</v>
      </c>
      <c r="C253" s="399">
        <v>15</v>
      </c>
      <c r="D253" s="402" t="s">
        <v>822</v>
      </c>
    </row>
    <row r="254" spans="1:4">
      <c r="A254" s="401" t="s">
        <v>858</v>
      </c>
      <c r="B254" s="400">
        <v>15476</v>
      </c>
      <c r="C254" s="399">
        <v>15</v>
      </c>
      <c r="D254" s="402" t="s">
        <v>822</v>
      </c>
    </row>
    <row r="255" spans="1:4">
      <c r="A255" s="401" t="s">
        <v>204</v>
      </c>
      <c r="B255" s="400">
        <v>15480</v>
      </c>
      <c r="C255" s="399">
        <v>15</v>
      </c>
      <c r="D255" s="402" t="s">
        <v>822</v>
      </c>
    </row>
    <row r="256" spans="1:4">
      <c r="A256" s="401" t="s">
        <v>859</v>
      </c>
      <c r="B256" s="400">
        <v>15491</v>
      </c>
      <c r="C256" s="399">
        <v>15</v>
      </c>
      <c r="D256" s="402" t="s">
        <v>822</v>
      </c>
    </row>
    <row r="257" spans="1:4">
      <c r="A257" s="401" t="s">
        <v>860</v>
      </c>
      <c r="B257" s="400">
        <v>15494</v>
      </c>
      <c r="C257" s="399">
        <v>15</v>
      </c>
      <c r="D257" s="402" t="s">
        <v>822</v>
      </c>
    </row>
    <row r="258" spans="1:4">
      <c r="A258" s="401" t="s">
        <v>861</v>
      </c>
      <c r="B258" s="400">
        <v>15500</v>
      </c>
      <c r="C258" s="399">
        <v>15</v>
      </c>
      <c r="D258" s="402" t="s">
        <v>822</v>
      </c>
    </row>
    <row r="259" spans="1:4">
      <c r="A259" s="401" t="s">
        <v>862</v>
      </c>
      <c r="B259" s="400">
        <v>15507</v>
      </c>
      <c r="C259" s="399">
        <v>15</v>
      </c>
      <c r="D259" s="402" t="s">
        <v>822</v>
      </c>
    </row>
    <row r="260" spans="1:4">
      <c r="A260" s="401" t="s">
        <v>863</v>
      </c>
      <c r="B260" s="400">
        <v>15511</v>
      </c>
      <c r="C260" s="399">
        <v>15</v>
      </c>
      <c r="D260" s="402" t="s">
        <v>822</v>
      </c>
    </row>
    <row r="261" spans="1:4">
      <c r="A261" s="401" t="s">
        <v>864</v>
      </c>
      <c r="B261" s="400">
        <v>15514</v>
      </c>
      <c r="C261" s="399">
        <v>15</v>
      </c>
      <c r="D261" s="402" t="s">
        <v>822</v>
      </c>
    </row>
    <row r="262" spans="1:4">
      <c r="A262" s="401" t="s">
        <v>205</v>
      </c>
      <c r="B262" s="400">
        <v>15516</v>
      </c>
      <c r="C262" s="399">
        <v>15</v>
      </c>
      <c r="D262" s="402" t="s">
        <v>822</v>
      </c>
    </row>
    <row r="263" spans="1:4">
      <c r="A263" s="401" t="s">
        <v>865</v>
      </c>
      <c r="B263" s="400">
        <v>15518</v>
      </c>
      <c r="C263" s="399">
        <v>15</v>
      </c>
      <c r="D263" s="402" t="s">
        <v>822</v>
      </c>
    </row>
    <row r="264" spans="1:4">
      <c r="A264" s="401" t="s">
        <v>866</v>
      </c>
      <c r="B264" s="400">
        <v>15522</v>
      </c>
      <c r="C264" s="399">
        <v>15</v>
      </c>
      <c r="D264" s="402" t="s">
        <v>822</v>
      </c>
    </row>
    <row r="265" spans="1:4">
      <c r="A265" s="401" t="s">
        <v>867</v>
      </c>
      <c r="B265" s="400">
        <v>15531</v>
      </c>
      <c r="C265" s="399">
        <v>15</v>
      </c>
      <c r="D265" s="402" t="s">
        <v>822</v>
      </c>
    </row>
    <row r="266" spans="1:4">
      <c r="A266" s="401" t="s">
        <v>868</v>
      </c>
      <c r="B266" s="400">
        <v>15533</v>
      </c>
      <c r="C266" s="399">
        <v>15</v>
      </c>
      <c r="D266" s="402" t="s">
        <v>822</v>
      </c>
    </row>
    <row r="267" spans="1:4">
      <c r="A267" s="401" t="s">
        <v>206</v>
      </c>
      <c r="B267" s="400">
        <v>15537</v>
      </c>
      <c r="C267" s="399">
        <v>15</v>
      </c>
      <c r="D267" s="402" t="s">
        <v>822</v>
      </c>
    </row>
    <row r="268" spans="1:4">
      <c r="A268" s="401" t="s">
        <v>207</v>
      </c>
      <c r="B268" s="400">
        <v>15542</v>
      </c>
      <c r="C268" s="399">
        <v>15</v>
      </c>
      <c r="D268" s="402" t="s">
        <v>822</v>
      </c>
    </row>
    <row r="269" spans="1:4">
      <c r="A269" s="401" t="s">
        <v>869</v>
      </c>
      <c r="B269" s="400">
        <v>15550</v>
      </c>
      <c r="C269" s="399">
        <v>15</v>
      </c>
      <c r="D269" s="402" t="s">
        <v>822</v>
      </c>
    </row>
    <row r="270" spans="1:4">
      <c r="A270" s="401" t="s">
        <v>208</v>
      </c>
      <c r="B270" s="400">
        <v>15572</v>
      </c>
      <c r="C270" s="399">
        <v>15</v>
      </c>
      <c r="D270" s="402" t="s">
        <v>822</v>
      </c>
    </row>
    <row r="271" spans="1:4">
      <c r="A271" s="401" t="s">
        <v>870</v>
      </c>
      <c r="B271" s="400">
        <v>15580</v>
      </c>
      <c r="C271" s="399">
        <v>15</v>
      </c>
      <c r="D271" s="402" t="s">
        <v>822</v>
      </c>
    </row>
    <row r="272" spans="1:4">
      <c r="A272" s="401" t="s">
        <v>871</v>
      </c>
      <c r="B272" s="400">
        <v>15599</v>
      </c>
      <c r="C272" s="399">
        <v>15</v>
      </c>
      <c r="D272" s="402" t="s">
        <v>822</v>
      </c>
    </row>
    <row r="273" spans="1:4">
      <c r="A273" s="401" t="s">
        <v>872</v>
      </c>
      <c r="B273" s="400">
        <v>15600</v>
      </c>
      <c r="C273" s="399">
        <v>15</v>
      </c>
      <c r="D273" s="402" t="s">
        <v>822</v>
      </c>
    </row>
    <row r="274" spans="1:4">
      <c r="A274" s="401" t="s">
        <v>873</v>
      </c>
      <c r="B274" s="400">
        <v>15621</v>
      </c>
      <c r="C274" s="399">
        <v>15</v>
      </c>
      <c r="D274" s="402" t="s">
        <v>822</v>
      </c>
    </row>
    <row r="275" spans="1:4">
      <c r="A275" s="401" t="s">
        <v>874</v>
      </c>
      <c r="B275" s="400">
        <v>15632</v>
      </c>
      <c r="C275" s="399">
        <v>15</v>
      </c>
      <c r="D275" s="402" t="s">
        <v>822</v>
      </c>
    </row>
    <row r="276" spans="1:4">
      <c r="A276" s="401" t="s">
        <v>875</v>
      </c>
      <c r="B276" s="400">
        <v>15638</v>
      </c>
      <c r="C276" s="399">
        <v>15</v>
      </c>
      <c r="D276" s="402" t="s">
        <v>822</v>
      </c>
    </row>
    <row r="277" spans="1:4">
      <c r="A277" s="401" t="s">
        <v>209</v>
      </c>
      <c r="B277" s="400">
        <v>15646</v>
      </c>
      <c r="C277" s="399">
        <v>15</v>
      </c>
      <c r="D277" s="402" t="s">
        <v>822</v>
      </c>
    </row>
    <row r="278" spans="1:4">
      <c r="A278" s="401" t="s">
        <v>876</v>
      </c>
      <c r="B278" s="400">
        <v>15660</v>
      </c>
      <c r="C278" s="399">
        <v>15</v>
      </c>
      <c r="D278" s="402" t="s">
        <v>822</v>
      </c>
    </row>
    <row r="279" spans="1:4">
      <c r="A279" s="401" t="s">
        <v>877</v>
      </c>
      <c r="B279" s="400">
        <v>15664</v>
      </c>
      <c r="C279" s="399">
        <v>15</v>
      </c>
      <c r="D279" s="402" t="s">
        <v>822</v>
      </c>
    </row>
    <row r="280" spans="1:4">
      <c r="A280" s="401" t="s">
        <v>878</v>
      </c>
      <c r="B280" s="400">
        <v>15667</v>
      </c>
      <c r="C280" s="399">
        <v>15</v>
      </c>
      <c r="D280" s="402" t="s">
        <v>822</v>
      </c>
    </row>
    <row r="281" spans="1:4">
      <c r="A281" s="401" t="s">
        <v>879</v>
      </c>
      <c r="B281" s="400">
        <v>15673</v>
      </c>
      <c r="C281" s="399">
        <v>15</v>
      </c>
      <c r="D281" s="402" t="s">
        <v>822</v>
      </c>
    </row>
    <row r="282" spans="1:4">
      <c r="A282" s="401" t="s">
        <v>880</v>
      </c>
      <c r="B282" s="400">
        <v>15676</v>
      </c>
      <c r="C282" s="399">
        <v>15</v>
      </c>
      <c r="D282" s="402" t="s">
        <v>822</v>
      </c>
    </row>
    <row r="283" spans="1:4">
      <c r="A283" s="401" t="s">
        <v>881</v>
      </c>
      <c r="B283" s="400">
        <v>15681</v>
      </c>
      <c r="C283" s="399">
        <v>15</v>
      </c>
      <c r="D283" s="402" t="s">
        <v>822</v>
      </c>
    </row>
    <row r="284" spans="1:4">
      <c r="A284" s="401" t="s">
        <v>211</v>
      </c>
      <c r="B284" s="400">
        <v>15686</v>
      </c>
      <c r="C284" s="399">
        <v>15</v>
      </c>
      <c r="D284" s="402" t="s">
        <v>822</v>
      </c>
    </row>
    <row r="285" spans="1:4">
      <c r="A285" s="401" t="s">
        <v>882</v>
      </c>
      <c r="B285" s="400">
        <v>15690</v>
      </c>
      <c r="C285" s="399">
        <v>15</v>
      </c>
      <c r="D285" s="402" t="s">
        <v>822</v>
      </c>
    </row>
    <row r="286" spans="1:4">
      <c r="A286" s="401" t="s">
        <v>210</v>
      </c>
      <c r="B286" s="400">
        <v>15693</v>
      </c>
      <c r="C286" s="399">
        <v>15</v>
      </c>
      <c r="D286" s="402" t="s">
        <v>822</v>
      </c>
    </row>
    <row r="287" spans="1:4">
      <c r="A287" s="401" t="s">
        <v>883</v>
      </c>
      <c r="B287" s="400">
        <v>15696</v>
      </c>
      <c r="C287" s="399">
        <v>15</v>
      </c>
      <c r="D287" s="402" t="s">
        <v>822</v>
      </c>
    </row>
    <row r="288" spans="1:4">
      <c r="A288" s="401" t="s">
        <v>884</v>
      </c>
      <c r="B288" s="400">
        <v>15720</v>
      </c>
      <c r="C288" s="399">
        <v>15</v>
      </c>
      <c r="D288" s="402" t="s">
        <v>822</v>
      </c>
    </row>
    <row r="289" spans="1:4">
      <c r="A289" s="401" t="s">
        <v>885</v>
      </c>
      <c r="B289" s="400">
        <v>15723</v>
      </c>
      <c r="C289" s="399">
        <v>15</v>
      </c>
      <c r="D289" s="402" t="s">
        <v>822</v>
      </c>
    </row>
    <row r="290" spans="1:4">
      <c r="A290" s="401" t="s">
        <v>886</v>
      </c>
      <c r="B290" s="400">
        <v>15740</v>
      </c>
      <c r="C290" s="399">
        <v>15</v>
      </c>
      <c r="D290" s="402" t="s">
        <v>822</v>
      </c>
    </row>
    <row r="291" spans="1:4">
      <c r="A291" s="401" t="s">
        <v>887</v>
      </c>
      <c r="B291" s="400">
        <v>15753</v>
      </c>
      <c r="C291" s="399">
        <v>15</v>
      </c>
      <c r="D291" s="402" t="s">
        <v>822</v>
      </c>
    </row>
    <row r="292" spans="1:4">
      <c r="A292" s="401" t="s">
        <v>212</v>
      </c>
      <c r="B292" s="400">
        <v>15755</v>
      </c>
      <c r="C292" s="399">
        <v>15</v>
      </c>
      <c r="D292" s="402" t="s">
        <v>822</v>
      </c>
    </row>
    <row r="293" spans="1:4">
      <c r="A293" s="401" t="s">
        <v>888</v>
      </c>
      <c r="B293" s="400">
        <v>15757</v>
      </c>
      <c r="C293" s="399">
        <v>15</v>
      </c>
      <c r="D293" s="402" t="s">
        <v>822</v>
      </c>
    </row>
    <row r="294" spans="1:4">
      <c r="A294" s="401" t="s">
        <v>213</v>
      </c>
      <c r="B294" s="400">
        <v>15759</v>
      </c>
      <c r="C294" s="399">
        <v>15</v>
      </c>
      <c r="D294" s="402" t="s">
        <v>822</v>
      </c>
    </row>
    <row r="295" spans="1:4">
      <c r="A295" s="401" t="s">
        <v>889</v>
      </c>
      <c r="B295" s="400">
        <v>15761</v>
      </c>
      <c r="C295" s="399">
        <v>15</v>
      </c>
      <c r="D295" s="402" t="s">
        <v>822</v>
      </c>
    </row>
    <row r="296" spans="1:4">
      <c r="A296" s="401" t="s">
        <v>890</v>
      </c>
      <c r="B296" s="400">
        <v>15762</v>
      </c>
      <c r="C296" s="399">
        <v>15</v>
      </c>
      <c r="D296" s="402" t="s">
        <v>822</v>
      </c>
    </row>
    <row r="297" spans="1:4">
      <c r="A297" s="401" t="s">
        <v>891</v>
      </c>
      <c r="B297" s="400">
        <v>15763</v>
      </c>
      <c r="C297" s="399">
        <v>15</v>
      </c>
      <c r="D297" s="402" t="s">
        <v>822</v>
      </c>
    </row>
    <row r="298" spans="1:4">
      <c r="A298" s="401" t="s">
        <v>892</v>
      </c>
      <c r="B298" s="400">
        <v>15764</v>
      </c>
      <c r="C298" s="399">
        <v>15</v>
      </c>
      <c r="D298" s="402" t="s">
        <v>822</v>
      </c>
    </row>
    <row r="299" spans="1:4">
      <c r="A299" s="401" t="s">
        <v>893</v>
      </c>
      <c r="B299" s="400">
        <v>15774</v>
      </c>
      <c r="C299" s="399">
        <v>15</v>
      </c>
      <c r="D299" s="402" t="s">
        <v>822</v>
      </c>
    </row>
    <row r="300" spans="1:4">
      <c r="A300" s="401" t="s">
        <v>894</v>
      </c>
      <c r="B300" s="400">
        <v>15776</v>
      </c>
      <c r="C300" s="399">
        <v>15</v>
      </c>
      <c r="D300" s="402" t="s">
        <v>822</v>
      </c>
    </row>
    <row r="301" spans="1:4">
      <c r="A301" s="401" t="s">
        <v>895</v>
      </c>
      <c r="B301" s="400">
        <v>15778</v>
      </c>
      <c r="C301" s="399">
        <v>15</v>
      </c>
      <c r="D301" s="402" t="s">
        <v>822</v>
      </c>
    </row>
    <row r="302" spans="1:4">
      <c r="A302" s="401" t="s">
        <v>896</v>
      </c>
      <c r="B302" s="400">
        <v>15790</v>
      </c>
      <c r="C302" s="399">
        <v>15</v>
      </c>
      <c r="D302" s="402" t="s">
        <v>822</v>
      </c>
    </row>
    <row r="303" spans="1:4">
      <c r="A303" s="401" t="s">
        <v>897</v>
      </c>
      <c r="B303" s="400">
        <v>15798</v>
      </c>
      <c r="C303" s="399">
        <v>15</v>
      </c>
      <c r="D303" s="402" t="s">
        <v>822</v>
      </c>
    </row>
    <row r="304" spans="1:4">
      <c r="A304" s="401" t="s">
        <v>898</v>
      </c>
      <c r="B304" s="400">
        <v>15804</v>
      </c>
      <c r="C304" s="399">
        <v>15</v>
      </c>
      <c r="D304" s="402" t="s">
        <v>822</v>
      </c>
    </row>
    <row r="305" spans="1:4">
      <c r="A305" s="401" t="s">
        <v>899</v>
      </c>
      <c r="B305" s="400">
        <v>15806</v>
      </c>
      <c r="C305" s="399">
        <v>15</v>
      </c>
      <c r="D305" s="402" t="s">
        <v>822</v>
      </c>
    </row>
    <row r="306" spans="1:4">
      <c r="A306" s="401" t="s">
        <v>900</v>
      </c>
      <c r="B306" s="400">
        <v>15808</v>
      </c>
      <c r="C306" s="399">
        <v>15</v>
      </c>
      <c r="D306" s="402" t="s">
        <v>822</v>
      </c>
    </row>
    <row r="307" spans="1:4">
      <c r="A307" s="401" t="s">
        <v>214</v>
      </c>
      <c r="B307" s="400">
        <v>15810</v>
      </c>
      <c r="C307" s="399">
        <v>15</v>
      </c>
      <c r="D307" s="402" t="s">
        <v>822</v>
      </c>
    </row>
    <row r="308" spans="1:4">
      <c r="A308" s="401" t="s">
        <v>215</v>
      </c>
      <c r="B308" s="400">
        <v>15814</v>
      </c>
      <c r="C308" s="399">
        <v>15</v>
      </c>
      <c r="D308" s="402" t="s">
        <v>822</v>
      </c>
    </row>
    <row r="309" spans="1:4">
      <c r="A309" s="401" t="s">
        <v>901</v>
      </c>
      <c r="B309" s="400">
        <v>15816</v>
      </c>
      <c r="C309" s="399">
        <v>15</v>
      </c>
      <c r="D309" s="402" t="s">
        <v>822</v>
      </c>
    </row>
    <row r="310" spans="1:4">
      <c r="A310" s="401" t="s">
        <v>902</v>
      </c>
      <c r="B310" s="400">
        <v>15820</v>
      </c>
      <c r="C310" s="399">
        <v>15</v>
      </c>
      <c r="D310" s="402" t="s">
        <v>822</v>
      </c>
    </row>
    <row r="311" spans="1:4">
      <c r="A311" s="401" t="s">
        <v>903</v>
      </c>
      <c r="B311" s="400">
        <v>15822</v>
      </c>
      <c r="C311" s="399">
        <v>15</v>
      </c>
      <c r="D311" s="402" t="s">
        <v>822</v>
      </c>
    </row>
    <row r="312" spans="1:4">
      <c r="A312" s="401" t="s">
        <v>904</v>
      </c>
      <c r="B312" s="400">
        <v>15832</v>
      </c>
      <c r="C312" s="399">
        <v>15</v>
      </c>
      <c r="D312" s="402" t="s">
        <v>822</v>
      </c>
    </row>
    <row r="313" spans="1:4">
      <c r="A313" s="401" t="s">
        <v>905</v>
      </c>
      <c r="B313" s="400">
        <v>15835</v>
      </c>
      <c r="C313" s="399">
        <v>15</v>
      </c>
      <c r="D313" s="402" t="s">
        <v>822</v>
      </c>
    </row>
    <row r="314" spans="1:4">
      <c r="A314" s="401" t="s">
        <v>906</v>
      </c>
      <c r="B314" s="400">
        <v>15837</v>
      </c>
      <c r="C314" s="399">
        <v>15</v>
      </c>
      <c r="D314" s="402" t="s">
        <v>822</v>
      </c>
    </row>
    <row r="315" spans="1:4">
      <c r="A315" s="401" t="s">
        <v>907</v>
      </c>
      <c r="B315" s="400">
        <v>15839</v>
      </c>
      <c r="C315" s="399">
        <v>15</v>
      </c>
      <c r="D315" s="402" t="s">
        <v>822</v>
      </c>
    </row>
    <row r="316" spans="1:4">
      <c r="A316" s="401" t="s">
        <v>908</v>
      </c>
      <c r="B316" s="400">
        <v>15842</v>
      </c>
      <c r="C316" s="399">
        <v>15</v>
      </c>
      <c r="D316" s="402" t="s">
        <v>822</v>
      </c>
    </row>
    <row r="317" spans="1:4">
      <c r="A317" s="401" t="s">
        <v>909</v>
      </c>
      <c r="B317" s="400">
        <v>15861</v>
      </c>
      <c r="C317" s="399">
        <v>15</v>
      </c>
      <c r="D317" s="402" t="s">
        <v>822</v>
      </c>
    </row>
    <row r="318" spans="1:4">
      <c r="A318" s="401" t="s">
        <v>910</v>
      </c>
      <c r="B318" s="400">
        <v>15879</v>
      </c>
      <c r="C318" s="399">
        <v>15</v>
      </c>
      <c r="D318" s="402" t="s">
        <v>822</v>
      </c>
    </row>
    <row r="319" spans="1:4">
      <c r="A319" s="401" t="s">
        <v>911</v>
      </c>
      <c r="B319" s="400">
        <v>15897</v>
      </c>
      <c r="C319" s="399">
        <v>15</v>
      </c>
      <c r="D319" s="402" t="s">
        <v>822</v>
      </c>
    </row>
    <row r="320" spans="1:4">
      <c r="A320" s="401" t="s">
        <v>218</v>
      </c>
      <c r="B320" s="400">
        <v>17001</v>
      </c>
      <c r="C320" s="399">
        <v>17</v>
      </c>
      <c r="D320" s="402" t="s">
        <v>831</v>
      </c>
    </row>
    <row r="321" spans="1:4">
      <c r="A321" s="401" t="s">
        <v>219</v>
      </c>
      <c r="B321" s="400">
        <v>17013</v>
      </c>
      <c r="C321" s="399">
        <v>17</v>
      </c>
      <c r="D321" s="402" t="s">
        <v>831</v>
      </c>
    </row>
    <row r="322" spans="1:4">
      <c r="A322" s="401" t="s">
        <v>220</v>
      </c>
      <c r="B322" s="400">
        <v>17042</v>
      </c>
      <c r="C322" s="399">
        <v>17</v>
      </c>
      <c r="D322" s="402" t="s">
        <v>831</v>
      </c>
    </row>
    <row r="323" spans="1:4">
      <c r="A323" s="401" t="s">
        <v>221</v>
      </c>
      <c r="B323" s="400">
        <v>17050</v>
      </c>
      <c r="C323" s="399">
        <v>17</v>
      </c>
      <c r="D323" s="402" t="s">
        <v>831</v>
      </c>
    </row>
    <row r="324" spans="1:4">
      <c r="A324" s="401" t="s">
        <v>222</v>
      </c>
      <c r="B324" s="400">
        <v>17088</v>
      </c>
      <c r="C324" s="399">
        <v>17</v>
      </c>
      <c r="D324" s="402" t="s">
        <v>831</v>
      </c>
    </row>
    <row r="325" spans="1:4">
      <c r="A325" s="401" t="s">
        <v>223</v>
      </c>
      <c r="B325" s="400">
        <v>17174</v>
      </c>
      <c r="C325" s="399">
        <v>17</v>
      </c>
      <c r="D325" s="402" t="s">
        <v>831</v>
      </c>
    </row>
    <row r="326" spans="1:4">
      <c r="A326" s="401" t="s">
        <v>224</v>
      </c>
      <c r="B326" s="400">
        <v>17272</v>
      </c>
      <c r="C326" s="399">
        <v>17</v>
      </c>
      <c r="D326" s="402" t="s">
        <v>831</v>
      </c>
    </row>
    <row r="327" spans="1:4">
      <c r="A327" s="401" t="s">
        <v>225</v>
      </c>
      <c r="B327" s="400">
        <v>17380</v>
      </c>
      <c r="C327" s="399">
        <v>17</v>
      </c>
      <c r="D327" s="402" t="s">
        <v>831</v>
      </c>
    </row>
    <row r="328" spans="1:4">
      <c r="A328" s="401" t="s">
        <v>226</v>
      </c>
      <c r="B328" s="400">
        <v>17388</v>
      </c>
      <c r="C328" s="399">
        <v>17</v>
      </c>
      <c r="D328" s="402" t="s">
        <v>831</v>
      </c>
    </row>
    <row r="329" spans="1:4">
      <c r="A329" s="401" t="s">
        <v>227</v>
      </c>
      <c r="B329" s="400">
        <v>17433</v>
      </c>
      <c r="C329" s="399">
        <v>17</v>
      </c>
      <c r="D329" s="402" t="s">
        <v>831</v>
      </c>
    </row>
    <row r="330" spans="1:4">
      <c r="A330" s="401" t="s">
        <v>228</v>
      </c>
      <c r="B330" s="400">
        <v>17442</v>
      </c>
      <c r="C330" s="399">
        <v>17</v>
      </c>
      <c r="D330" s="402" t="s">
        <v>831</v>
      </c>
    </row>
    <row r="331" spans="1:4">
      <c r="A331" s="401" t="s">
        <v>229</v>
      </c>
      <c r="B331" s="400">
        <v>17444</v>
      </c>
      <c r="C331" s="399">
        <v>17</v>
      </c>
      <c r="D331" s="402" t="s">
        <v>831</v>
      </c>
    </row>
    <row r="332" spans="1:4">
      <c r="A332" s="401" t="s">
        <v>230</v>
      </c>
      <c r="B332" s="400">
        <v>17446</v>
      </c>
      <c r="C332" s="399">
        <v>17</v>
      </c>
      <c r="D332" s="402" t="s">
        <v>831</v>
      </c>
    </row>
    <row r="333" spans="1:4">
      <c r="A333" s="401" t="s">
        <v>231</v>
      </c>
      <c r="B333" s="400">
        <v>17486</v>
      </c>
      <c r="C333" s="399">
        <v>17</v>
      </c>
      <c r="D333" s="402" t="s">
        <v>831</v>
      </c>
    </row>
    <row r="334" spans="1:4">
      <c r="A334" s="401" t="s">
        <v>232</v>
      </c>
      <c r="B334" s="400">
        <v>17495</v>
      </c>
      <c r="C334" s="399">
        <v>17</v>
      </c>
      <c r="D334" s="402" t="s">
        <v>831</v>
      </c>
    </row>
    <row r="335" spans="1:4">
      <c r="A335" s="401" t="s">
        <v>233</v>
      </c>
      <c r="B335" s="400">
        <v>17513</v>
      </c>
      <c r="C335" s="399">
        <v>17</v>
      </c>
      <c r="D335" s="402" t="s">
        <v>831</v>
      </c>
    </row>
    <row r="336" spans="1:4">
      <c r="A336" s="401" t="s">
        <v>234</v>
      </c>
      <c r="B336" s="400">
        <v>17524</v>
      </c>
      <c r="C336" s="399">
        <v>17</v>
      </c>
      <c r="D336" s="402" t="s">
        <v>831</v>
      </c>
    </row>
    <row r="337" spans="1:4">
      <c r="A337" s="401" t="s">
        <v>235</v>
      </c>
      <c r="B337" s="400">
        <v>17541</v>
      </c>
      <c r="C337" s="399">
        <v>17</v>
      </c>
      <c r="D337" s="402" t="s">
        <v>831</v>
      </c>
    </row>
    <row r="338" spans="1:4">
      <c r="A338" s="401" t="s">
        <v>236</v>
      </c>
      <c r="B338" s="400">
        <v>17614</v>
      </c>
      <c r="C338" s="399">
        <v>17</v>
      </c>
      <c r="D338" s="402" t="s">
        <v>831</v>
      </c>
    </row>
    <row r="339" spans="1:4">
      <c r="A339" s="401" t="s">
        <v>237</v>
      </c>
      <c r="B339" s="400">
        <v>17616</v>
      </c>
      <c r="C339" s="399">
        <v>17</v>
      </c>
      <c r="D339" s="402" t="s">
        <v>831</v>
      </c>
    </row>
    <row r="340" spans="1:4">
      <c r="A340" s="401" t="s">
        <v>238</v>
      </c>
      <c r="B340" s="400">
        <v>17653</v>
      </c>
      <c r="C340" s="399">
        <v>17</v>
      </c>
      <c r="D340" s="402" t="s">
        <v>831</v>
      </c>
    </row>
    <row r="341" spans="1:4">
      <c r="A341" s="401" t="s">
        <v>239</v>
      </c>
      <c r="B341" s="400">
        <v>17662</v>
      </c>
      <c r="C341" s="399">
        <v>17</v>
      </c>
      <c r="D341" s="402" t="s">
        <v>831</v>
      </c>
    </row>
    <row r="342" spans="1:4">
      <c r="A342" s="401" t="s">
        <v>240</v>
      </c>
      <c r="B342" s="400">
        <v>17665</v>
      </c>
      <c r="C342" s="399">
        <v>17</v>
      </c>
      <c r="D342" s="402" t="s">
        <v>831</v>
      </c>
    </row>
    <row r="343" spans="1:4">
      <c r="A343" s="401" t="s">
        <v>241</v>
      </c>
      <c r="B343" s="400">
        <v>17777</v>
      </c>
      <c r="C343" s="399">
        <v>17</v>
      </c>
      <c r="D343" s="402" t="s">
        <v>831</v>
      </c>
    </row>
    <row r="344" spans="1:4">
      <c r="A344" s="401" t="s">
        <v>242</v>
      </c>
      <c r="B344" s="400">
        <v>17867</v>
      </c>
      <c r="C344" s="399">
        <v>17</v>
      </c>
      <c r="D344" s="402" t="s">
        <v>831</v>
      </c>
    </row>
    <row r="345" spans="1:4">
      <c r="A345" s="401" t="s">
        <v>243</v>
      </c>
      <c r="B345" s="400">
        <v>17873</v>
      </c>
      <c r="C345" s="399">
        <v>17</v>
      </c>
      <c r="D345" s="402" t="s">
        <v>831</v>
      </c>
    </row>
    <row r="346" spans="1:4">
      <c r="A346" s="401" t="s">
        <v>244</v>
      </c>
      <c r="B346" s="400">
        <v>17877</v>
      </c>
      <c r="C346" s="399">
        <v>17</v>
      </c>
      <c r="D346" s="402" t="s">
        <v>831</v>
      </c>
    </row>
    <row r="347" spans="1:4">
      <c r="A347" s="401" t="s">
        <v>246</v>
      </c>
      <c r="B347" s="400">
        <v>18001</v>
      </c>
      <c r="C347" s="399">
        <v>18</v>
      </c>
      <c r="D347" s="402" t="s">
        <v>912</v>
      </c>
    </row>
    <row r="348" spans="1:4">
      <c r="A348" s="401" t="s">
        <v>913</v>
      </c>
      <c r="B348" s="400">
        <v>18029</v>
      </c>
      <c r="C348" s="399">
        <v>18</v>
      </c>
      <c r="D348" s="402" t="s">
        <v>912</v>
      </c>
    </row>
    <row r="349" spans="1:4">
      <c r="A349" s="401" t="s">
        <v>247</v>
      </c>
      <c r="B349" s="400">
        <v>18094</v>
      </c>
      <c r="C349" s="399">
        <v>18</v>
      </c>
      <c r="D349" s="402" t="s">
        <v>912</v>
      </c>
    </row>
    <row r="350" spans="1:4">
      <c r="A350" s="401" t="s">
        <v>248</v>
      </c>
      <c r="B350" s="400">
        <v>18150</v>
      </c>
      <c r="C350" s="399">
        <v>18</v>
      </c>
      <c r="D350" s="402" t="s">
        <v>912</v>
      </c>
    </row>
    <row r="351" spans="1:4">
      <c r="A351" s="401" t="s">
        <v>914</v>
      </c>
      <c r="B351" s="400">
        <v>18205</v>
      </c>
      <c r="C351" s="399">
        <v>18</v>
      </c>
      <c r="D351" s="402" t="s">
        <v>912</v>
      </c>
    </row>
    <row r="352" spans="1:4">
      <c r="A352" s="401" t="s">
        <v>249</v>
      </c>
      <c r="B352" s="400">
        <v>18247</v>
      </c>
      <c r="C352" s="399">
        <v>18</v>
      </c>
      <c r="D352" s="402" t="s">
        <v>912</v>
      </c>
    </row>
    <row r="353" spans="1:4">
      <c r="A353" s="401" t="s">
        <v>250</v>
      </c>
      <c r="B353" s="400">
        <v>18256</v>
      </c>
      <c r="C353" s="399">
        <v>18</v>
      </c>
      <c r="D353" s="402" t="s">
        <v>912</v>
      </c>
    </row>
    <row r="354" spans="1:4">
      <c r="A354" s="401" t="s">
        <v>251</v>
      </c>
      <c r="B354" s="400">
        <v>18410</v>
      </c>
      <c r="C354" s="399">
        <v>18</v>
      </c>
      <c r="D354" s="402" t="s">
        <v>912</v>
      </c>
    </row>
    <row r="355" spans="1:4">
      <c r="A355" s="401" t="s">
        <v>252</v>
      </c>
      <c r="B355" s="400">
        <v>18460</v>
      </c>
      <c r="C355" s="399">
        <v>18</v>
      </c>
      <c r="D355" s="402" t="s">
        <v>912</v>
      </c>
    </row>
    <row r="356" spans="1:4">
      <c r="A356" s="401" t="s">
        <v>915</v>
      </c>
      <c r="B356" s="400">
        <v>18479</v>
      </c>
      <c r="C356" s="399">
        <v>18</v>
      </c>
      <c r="D356" s="402" t="s">
        <v>912</v>
      </c>
    </row>
    <row r="357" spans="1:4">
      <c r="A357" s="401" t="s">
        <v>253</v>
      </c>
      <c r="B357" s="400">
        <v>18592</v>
      </c>
      <c r="C357" s="399">
        <v>18</v>
      </c>
      <c r="D357" s="402" t="s">
        <v>912</v>
      </c>
    </row>
    <row r="358" spans="1:4">
      <c r="A358" s="401" t="s">
        <v>254</v>
      </c>
      <c r="B358" s="400">
        <v>18610</v>
      </c>
      <c r="C358" s="399">
        <v>18</v>
      </c>
      <c r="D358" s="402" t="s">
        <v>912</v>
      </c>
    </row>
    <row r="359" spans="1:4">
      <c r="A359" s="401" t="s">
        <v>255</v>
      </c>
      <c r="B359" s="400">
        <v>18753</v>
      </c>
      <c r="C359" s="399">
        <v>18</v>
      </c>
      <c r="D359" s="402" t="s">
        <v>912</v>
      </c>
    </row>
    <row r="360" spans="1:4">
      <c r="A360" s="401" t="s">
        <v>256</v>
      </c>
      <c r="B360" s="400">
        <v>18756</v>
      </c>
      <c r="C360" s="399">
        <v>18</v>
      </c>
      <c r="D360" s="402" t="s">
        <v>912</v>
      </c>
    </row>
    <row r="361" spans="1:4">
      <c r="A361" s="401" t="s">
        <v>257</v>
      </c>
      <c r="B361" s="400">
        <v>18785</v>
      </c>
      <c r="C361" s="399">
        <v>18</v>
      </c>
      <c r="D361" s="402" t="s">
        <v>912</v>
      </c>
    </row>
    <row r="362" spans="1:4">
      <c r="A362" s="401" t="s">
        <v>258</v>
      </c>
      <c r="B362" s="400">
        <v>18860</v>
      </c>
      <c r="C362" s="399">
        <v>18</v>
      </c>
      <c r="D362" s="402" t="s">
        <v>912</v>
      </c>
    </row>
    <row r="363" spans="1:4">
      <c r="A363" s="401" t="s">
        <v>260</v>
      </c>
      <c r="B363" s="400">
        <v>19001</v>
      </c>
      <c r="C363" s="399">
        <v>19</v>
      </c>
      <c r="D363" s="402" t="s">
        <v>916</v>
      </c>
    </row>
    <row r="364" spans="1:4">
      <c r="A364" s="401" t="s">
        <v>261</v>
      </c>
      <c r="B364" s="400">
        <v>19022</v>
      </c>
      <c r="C364" s="399">
        <v>19</v>
      </c>
      <c r="D364" s="402" t="s">
        <v>916</v>
      </c>
    </row>
    <row r="365" spans="1:4">
      <c r="A365" s="401" t="s">
        <v>262</v>
      </c>
      <c r="B365" s="400">
        <v>19050</v>
      </c>
      <c r="C365" s="399">
        <v>19</v>
      </c>
      <c r="D365" s="402" t="s">
        <v>916</v>
      </c>
    </row>
    <row r="366" spans="1:4">
      <c r="A366" s="401" t="s">
        <v>263</v>
      </c>
      <c r="B366" s="400">
        <v>19075</v>
      </c>
      <c r="C366" s="399">
        <v>19</v>
      </c>
      <c r="D366" s="402" t="s">
        <v>916</v>
      </c>
    </row>
    <row r="367" spans="1:4">
      <c r="A367" s="401" t="s">
        <v>264</v>
      </c>
      <c r="B367" s="400">
        <v>19100</v>
      </c>
      <c r="C367" s="399">
        <v>19</v>
      </c>
      <c r="D367" s="402" t="s">
        <v>916</v>
      </c>
    </row>
    <row r="368" spans="1:4">
      <c r="A368" s="401" t="s">
        <v>265</v>
      </c>
      <c r="B368" s="400">
        <v>19110</v>
      </c>
      <c r="C368" s="399">
        <v>19</v>
      </c>
      <c r="D368" s="402" t="s">
        <v>916</v>
      </c>
    </row>
    <row r="369" spans="1:4">
      <c r="A369" s="401" t="s">
        <v>266</v>
      </c>
      <c r="B369" s="400">
        <v>19130</v>
      </c>
      <c r="C369" s="399">
        <v>19</v>
      </c>
      <c r="D369" s="402" t="s">
        <v>916</v>
      </c>
    </row>
    <row r="370" spans="1:4">
      <c r="A370" s="401" t="s">
        <v>267</v>
      </c>
      <c r="B370" s="400">
        <v>19137</v>
      </c>
      <c r="C370" s="399">
        <v>19</v>
      </c>
      <c r="D370" s="402" t="s">
        <v>916</v>
      </c>
    </row>
    <row r="371" spans="1:4">
      <c r="A371" s="401" t="s">
        <v>268</v>
      </c>
      <c r="B371" s="400">
        <v>19142</v>
      </c>
      <c r="C371" s="399">
        <v>19</v>
      </c>
      <c r="D371" s="402" t="s">
        <v>916</v>
      </c>
    </row>
    <row r="372" spans="1:4">
      <c r="A372" s="401" t="s">
        <v>269</v>
      </c>
      <c r="B372" s="400">
        <v>19212</v>
      </c>
      <c r="C372" s="399">
        <v>19</v>
      </c>
      <c r="D372" s="402" t="s">
        <v>916</v>
      </c>
    </row>
    <row r="373" spans="1:4">
      <c r="A373" s="401" t="s">
        <v>270</v>
      </c>
      <c r="B373" s="400">
        <v>19256</v>
      </c>
      <c r="C373" s="399">
        <v>19</v>
      </c>
      <c r="D373" s="402" t="s">
        <v>916</v>
      </c>
    </row>
    <row r="374" spans="1:4">
      <c r="A374" s="401" t="s">
        <v>246</v>
      </c>
      <c r="B374" s="400">
        <v>19290</v>
      </c>
      <c r="C374" s="399">
        <v>19</v>
      </c>
      <c r="D374" s="402" t="s">
        <v>916</v>
      </c>
    </row>
    <row r="375" spans="1:4">
      <c r="A375" s="401" t="s">
        <v>271</v>
      </c>
      <c r="B375" s="400">
        <v>19300</v>
      </c>
      <c r="C375" s="399">
        <v>19</v>
      </c>
      <c r="D375" s="402" t="s">
        <v>916</v>
      </c>
    </row>
    <row r="376" spans="1:4">
      <c r="A376" s="401" t="s">
        <v>272</v>
      </c>
      <c r="B376" s="400">
        <v>19318</v>
      </c>
      <c r="C376" s="399">
        <v>19</v>
      </c>
      <c r="D376" s="402" t="s">
        <v>916</v>
      </c>
    </row>
    <row r="377" spans="1:4">
      <c r="A377" s="401" t="s">
        <v>273</v>
      </c>
      <c r="B377" s="400">
        <v>19355</v>
      </c>
      <c r="C377" s="399">
        <v>19</v>
      </c>
      <c r="D377" s="402" t="s">
        <v>916</v>
      </c>
    </row>
    <row r="378" spans="1:4">
      <c r="A378" s="401" t="s">
        <v>917</v>
      </c>
      <c r="B378" s="400">
        <v>19364</v>
      </c>
      <c r="C378" s="399">
        <v>19</v>
      </c>
      <c r="D378" s="402" t="s">
        <v>916</v>
      </c>
    </row>
    <row r="379" spans="1:4">
      <c r="A379" s="401" t="s">
        <v>918</v>
      </c>
      <c r="B379" s="400">
        <v>19392</v>
      </c>
      <c r="C379" s="399">
        <v>19</v>
      </c>
      <c r="D379" s="402" t="s">
        <v>916</v>
      </c>
    </row>
    <row r="380" spans="1:4">
      <c r="A380" s="401" t="s">
        <v>274</v>
      </c>
      <c r="B380" s="400">
        <v>19397</v>
      </c>
      <c r="C380" s="399">
        <v>19</v>
      </c>
      <c r="D380" s="402" t="s">
        <v>916</v>
      </c>
    </row>
    <row r="381" spans="1:4">
      <c r="A381" s="401" t="s">
        <v>275</v>
      </c>
      <c r="B381" s="400">
        <v>19418</v>
      </c>
      <c r="C381" s="399">
        <v>19</v>
      </c>
      <c r="D381" s="402" t="s">
        <v>916</v>
      </c>
    </row>
    <row r="382" spans="1:4">
      <c r="A382" s="401" t="s">
        <v>276</v>
      </c>
      <c r="B382" s="400">
        <v>19450</v>
      </c>
      <c r="C382" s="399">
        <v>19</v>
      </c>
      <c r="D382" s="402" t="s">
        <v>916</v>
      </c>
    </row>
    <row r="383" spans="1:4">
      <c r="A383" s="401" t="s">
        <v>277</v>
      </c>
      <c r="B383" s="400">
        <v>19455</v>
      </c>
      <c r="C383" s="399">
        <v>19</v>
      </c>
      <c r="D383" s="402" t="s">
        <v>916</v>
      </c>
    </row>
    <row r="384" spans="1:4">
      <c r="A384" s="401" t="s">
        <v>278</v>
      </c>
      <c r="B384" s="400">
        <v>19473</v>
      </c>
      <c r="C384" s="399">
        <v>19</v>
      </c>
      <c r="D384" s="402" t="s">
        <v>916</v>
      </c>
    </row>
    <row r="385" spans="1:4">
      <c r="A385" s="401" t="s">
        <v>919</v>
      </c>
      <c r="B385" s="400">
        <v>19513</v>
      </c>
      <c r="C385" s="399">
        <v>19</v>
      </c>
      <c r="D385" s="402" t="s">
        <v>916</v>
      </c>
    </row>
    <row r="386" spans="1:4">
      <c r="A386" s="401" t="s">
        <v>279</v>
      </c>
      <c r="B386" s="400">
        <v>19517</v>
      </c>
      <c r="C386" s="399">
        <v>19</v>
      </c>
      <c r="D386" s="402" t="s">
        <v>916</v>
      </c>
    </row>
    <row r="387" spans="1:4">
      <c r="A387" s="401" t="s">
        <v>280</v>
      </c>
      <c r="B387" s="400">
        <v>19532</v>
      </c>
      <c r="C387" s="399">
        <v>19</v>
      </c>
      <c r="D387" s="402" t="s">
        <v>916</v>
      </c>
    </row>
    <row r="388" spans="1:4">
      <c r="A388" s="401" t="s">
        <v>281</v>
      </c>
      <c r="B388" s="400">
        <v>19533</v>
      </c>
      <c r="C388" s="399">
        <v>19</v>
      </c>
      <c r="D388" s="402" t="s">
        <v>916</v>
      </c>
    </row>
    <row r="389" spans="1:4">
      <c r="A389" s="401" t="s">
        <v>282</v>
      </c>
      <c r="B389" s="400">
        <v>19548</v>
      </c>
      <c r="C389" s="399">
        <v>19</v>
      </c>
      <c r="D389" s="402" t="s">
        <v>916</v>
      </c>
    </row>
    <row r="390" spans="1:4">
      <c r="A390" s="401" t="s">
        <v>283</v>
      </c>
      <c r="B390" s="400">
        <v>19573</v>
      </c>
      <c r="C390" s="399">
        <v>19</v>
      </c>
      <c r="D390" s="402" t="s">
        <v>916</v>
      </c>
    </row>
    <row r="391" spans="1:4">
      <c r="A391" s="401" t="s">
        <v>920</v>
      </c>
      <c r="B391" s="400">
        <v>19585</v>
      </c>
      <c r="C391" s="399">
        <v>19</v>
      </c>
      <c r="D391" s="402" t="s">
        <v>916</v>
      </c>
    </row>
    <row r="392" spans="1:4">
      <c r="A392" s="401" t="s">
        <v>921</v>
      </c>
      <c r="B392" s="400">
        <v>19622</v>
      </c>
      <c r="C392" s="399">
        <v>19</v>
      </c>
      <c r="D392" s="402" t="s">
        <v>916</v>
      </c>
    </row>
    <row r="393" spans="1:4">
      <c r="A393" s="401" t="s">
        <v>922</v>
      </c>
      <c r="B393" s="400">
        <v>19693</v>
      </c>
      <c r="C393" s="399">
        <v>19</v>
      </c>
      <c r="D393" s="402" t="s">
        <v>916</v>
      </c>
    </row>
    <row r="394" spans="1:4">
      <c r="A394" s="401" t="s">
        <v>284</v>
      </c>
      <c r="B394" s="400">
        <v>19698</v>
      </c>
      <c r="C394" s="399">
        <v>19</v>
      </c>
      <c r="D394" s="402" t="s">
        <v>916</v>
      </c>
    </row>
    <row r="395" spans="1:4">
      <c r="A395" s="401" t="s">
        <v>923</v>
      </c>
      <c r="B395" s="400">
        <v>19701</v>
      </c>
      <c r="C395" s="399">
        <v>19</v>
      </c>
      <c r="D395" s="402" t="s">
        <v>916</v>
      </c>
    </row>
    <row r="396" spans="1:4">
      <c r="A396" s="401" t="s">
        <v>285</v>
      </c>
      <c r="B396" s="400">
        <v>19743</v>
      </c>
      <c r="C396" s="399">
        <v>19</v>
      </c>
      <c r="D396" s="402" t="s">
        <v>916</v>
      </c>
    </row>
    <row r="397" spans="1:4">
      <c r="A397" s="401" t="s">
        <v>286</v>
      </c>
      <c r="B397" s="400">
        <v>19760</v>
      </c>
      <c r="C397" s="399">
        <v>19</v>
      </c>
      <c r="D397" s="402" t="s">
        <v>916</v>
      </c>
    </row>
    <row r="398" spans="1:4">
      <c r="A398" s="401" t="s">
        <v>287</v>
      </c>
      <c r="B398" s="400">
        <v>19780</v>
      </c>
      <c r="C398" s="399">
        <v>19</v>
      </c>
      <c r="D398" s="402" t="s">
        <v>916</v>
      </c>
    </row>
    <row r="399" spans="1:4">
      <c r="A399" s="401" t="s">
        <v>924</v>
      </c>
      <c r="B399" s="400">
        <v>19785</v>
      </c>
      <c r="C399" s="399">
        <v>19</v>
      </c>
      <c r="D399" s="402" t="s">
        <v>916</v>
      </c>
    </row>
    <row r="400" spans="1:4">
      <c r="A400" s="401" t="s">
        <v>288</v>
      </c>
      <c r="B400" s="400">
        <v>19807</v>
      </c>
      <c r="C400" s="399">
        <v>19</v>
      </c>
      <c r="D400" s="402" t="s">
        <v>916</v>
      </c>
    </row>
    <row r="401" spans="1:4">
      <c r="A401" s="401" t="s">
        <v>289</v>
      </c>
      <c r="B401" s="400">
        <v>19809</v>
      </c>
      <c r="C401" s="399">
        <v>19</v>
      </c>
      <c r="D401" s="402" t="s">
        <v>916</v>
      </c>
    </row>
    <row r="402" spans="1:4">
      <c r="A402" s="401" t="s">
        <v>290</v>
      </c>
      <c r="B402" s="400">
        <v>19821</v>
      </c>
      <c r="C402" s="399">
        <v>19</v>
      </c>
      <c r="D402" s="402" t="s">
        <v>916</v>
      </c>
    </row>
    <row r="403" spans="1:4">
      <c r="A403" s="401" t="s">
        <v>291</v>
      </c>
      <c r="B403" s="400">
        <v>19824</v>
      </c>
      <c r="C403" s="399">
        <v>19</v>
      </c>
      <c r="D403" s="402" t="s">
        <v>916</v>
      </c>
    </row>
    <row r="404" spans="1:4">
      <c r="A404" s="401" t="s">
        <v>292</v>
      </c>
      <c r="B404" s="400">
        <v>19845</v>
      </c>
      <c r="C404" s="399">
        <v>19</v>
      </c>
      <c r="D404" s="402" t="s">
        <v>916</v>
      </c>
    </row>
    <row r="405" spans="1:4">
      <c r="A405" s="401" t="s">
        <v>294</v>
      </c>
      <c r="B405" s="400">
        <v>20001</v>
      </c>
      <c r="C405" s="399">
        <v>20</v>
      </c>
      <c r="D405" s="402" t="s">
        <v>925</v>
      </c>
    </row>
    <row r="406" spans="1:4">
      <c r="A406" s="401" t="s">
        <v>295</v>
      </c>
      <c r="B406" s="400">
        <v>20011</v>
      </c>
      <c r="C406" s="399">
        <v>20</v>
      </c>
      <c r="D406" s="402" t="s">
        <v>925</v>
      </c>
    </row>
    <row r="407" spans="1:4">
      <c r="A407" s="401" t="s">
        <v>296</v>
      </c>
      <c r="B407" s="400">
        <v>20013</v>
      </c>
      <c r="C407" s="399">
        <v>20</v>
      </c>
      <c r="D407" s="402" t="s">
        <v>925</v>
      </c>
    </row>
    <row r="408" spans="1:4">
      <c r="A408" s="401" t="s">
        <v>297</v>
      </c>
      <c r="B408" s="400">
        <v>20032</v>
      </c>
      <c r="C408" s="399">
        <v>20</v>
      </c>
      <c r="D408" s="402" t="s">
        <v>925</v>
      </c>
    </row>
    <row r="409" spans="1:4">
      <c r="A409" s="401" t="s">
        <v>298</v>
      </c>
      <c r="B409" s="400">
        <v>20045</v>
      </c>
      <c r="C409" s="399">
        <v>20</v>
      </c>
      <c r="D409" s="402" t="s">
        <v>925</v>
      </c>
    </row>
    <row r="410" spans="1:4">
      <c r="A410" s="401" t="s">
        <v>299</v>
      </c>
      <c r="B410" s="400">
        <v>20060</v>
      </c>
      <c r="C410" s="399">
        <v>20</v>
      </c>
      <c r="D410" s="402" t="s">
        <v>925</v>
      </c>
    </row>
    <row r="411" spans="1:4">
      <c r="A411" s="401" t="s">
        <v>300</v>
      </c>
      <c r="B411" s="400">
        <v>20175</v>
      </c>
      <c r="C411" s="399">
        <v>20</v>
      </c>
      <c r="D411" s="402" t="s">
        <v>925</v>
      </c>
    </row>
    <row r="412" spans="1:4">
      <c r="A412" s="401" t="s">
        <v>301</v>
      </c>
      <c r="B412" s="400">
        <v>20178</v>
      </c>
      <c r="C412" s="399">
        <v>20</v>
      </c>
      <c r="D412" s="402" t="s">
        <v>925</v>
      </c>
    </row>
    <row r="413" spans="1:4">
      <c r="A413" s="401" t="s">
        <v>302</v>
      </c>
      <c r="B413" s="400">
        <v>20228</v>
      </c>
      <c r="C413" s="399">
        <v>20</v>
      </c>
      <c r="D413" s="402" t="s">
        <v>925</v>
      </c>
    </row>
    <row r="414" spans="1:4">
      <c r="A414" s="401" t="s">
        <v>303</v>
      </c>
      <c r="B414" s="400">
        <v>20238</v>
      </c>
      <c r="C414" s="399">
        <v>20</v>
      </c>
      <c r="D414" s="402" t="s">
        <v>925</v>
      </c>
    </row>
    <row r="415" spans="1:4">
      <c r="A415" s="401" t="s">
        <v>304</v>
      </c>
      <c r="B415" s="400">
        <v>20250</v>
      </c>
      <c r="C415" s="399">
        <v>20</v>
      </c>
      <c r="D415" s="402" t="s">
        <v>925</v>
      </c>
    </row>
    <row r="416" spans="1:4">
      <c r="A416" s="401" t="s">
        <v>305</v>
      </c>
      <c r="B416" s="400">
        <v>20295</v>
      </c>
      <c r="C416" s="399">
        <v>20</v>
      </c>
      <c r="D416" s="402" t="s">
        <v>925</v>
      </c>
    </row>
    <row r="417" spans="1:4">
      <c r="A417" s="401" t="s">
        <v>926</v>
      </c>
      <c r="B417" s="400">
        <v>20310</v>
      </c>
      <c r="C417" s="399">
        <v>20</v>
      </c>
      <c r="D417" s="402" t="s">
        <v>925</v>
      </c>
    </row>
    <row r="418" spans="1:4">
      <c r="A418" s="401" t="s">
        <v>927</v>
      </c>
      <c r="B418" s="400">
        <v>20383</v>
      </c>
      <c r="C418" s="399">
        <v>20</v>
      </c>
      <c r="D418" s="402" t="s">
        <v>925</v>
      </c>
    </row>
    <row r="419" spans="1:4">
      <c r="A419" s="401" t="s">
        <v>306</v>
      </c>
      <c r="B419" s="400">
        <v>20400</v>
      </c>
      <c r="C419" s="399">
        <v>20</v>
      </c>
      <c r="D419" s="402" t="s">
        <v>925</v>
      </c>
    </row>
    <row r="420" spans="1:4">
      <c r="A420" s="401" t="s">
        <v>308</v>
      </c>
      <c r="B420" s="400">
        <v>20443</v>
      </c>
      <c r="C420" s="399">
        <v>20</v>
      </c>
      <c r="D420" s="402" t="s">
        <v>925</v>
      </c>
    </row>
    <row r="421" spans="1:4">
      <c r="A421" s="401" t="s">
        <v>309</v>
      </c>
      <c r="B421" s="400">
        <v>20517</v>
      </c>
      <c r="C421" s="399">
        <v>20</v>
      </c>
      <c r="D421" s="402" t="s">
        <v>925</v>
      </c>
    </row>
    <row r="422" spans="1:4">
      <c r="A422" s="401" t="s">
        <v>310</v>
      </c>
      <c r="B422" s="400">
        <v>20550</v>
      </c>
      <c r="C422" s="399">
        <v>20</v>
      </c>
      <c r="D422" s="402" t="s">
        <v>925</v>
      </c>
    </row>
    <row r="423" spans="1:4">
      <c r="A423" s="401" t="s">
        <v>311</v>
      </c>
      <c r="B423" s="400">
        <v>20570</v>
      </c>
      <c r="C423" s="399">
        <v>20</v>
      </c>
      <c r="D423" s="402" t="s">
        <v>925</v>
      </c>
    </row>
    <row r="424" spans="1:4">
      <c r="A424" s="401" t="s">
        <v>312</v>
      </c>
      <c r="B424" s="400">
        <v>20614</v>
      </c>
      <c r="C424" s="399">
        <v>20</v>
      </c>
      <c r="D424" s="402" t="s">
        <v>925</v>
      </c>
    </row>
    <row r="425" spans="1:4">
      <c r="A425" s="401" t="s">
        <v>307</v>
      </c>
      <c r="B425" s="400">
        <v>20621</v>
      </c>
      <c r="C425" s="399">
        <v>20</v>
      </c>
      <c r="D425" s="402" t="s">
        <v>925</v>
      </c>
    </row>
    <row r="426" spans="1:4">
      <c r="A426" s="401" t="s">
        <v>313</v>
      </c>
      <c r="B426" s="400">
        <v>20710</v>
      </c>
      <c r="C426" s="399">
        <v>20</v>
      </c>
      <c r="D426" s="402" t="s">
        <v>925</v>
      </c>
    </row>
    <row r="427" spans="1:4">
      <c r="A427" s="401" t="s">
        <v>314</v>
      </c>
      <c r="B427" s="400">
        <v>20750</v>
      </c>
      <c r="C427" s="399">
        <v>20</v>
      </c>
      <c r="D427" s="402" t="s">
        <v>925</v>
      </c>
    </row>
    <row r="428" spans="1:4">
      <c r="A428" s="401" t="s">
        <v>315</v>
      </c>
      <c r="B428" s="400">
        <v>20770</v>
      </c>
      <c r="C428" s="399">
        <v>20</v>
      </c>
      <c r="D428" s="402" t="s">
        <v>925</v>
      </c>
    </row>
    <row r="429" spans="1:4">
      <c r="A429" s="401" t="s">
        <v>316</v>
      </c>
      <c r="B429" s="400">
        <v>20787</v>
      </c>
      <c r="C429" s="399">
        <v>20</v>
      </c>
      <c r="D429" s="402" t="s">
        <v>925</v>
      </c>
    </row>
    <row r="430" spans="1:4">
      <c r="A430" s="401" t="s">
        <v>318</v>
      </c>
      <c r="B430" s="400">
        <v>23001</v>
      </c>
      <c r="C430" s="399">
        <v>23</v>
      </c>
      <c r="D430" s="402" t="s">
        <v>564</v>
      </c>
    </row>
    <row r="431" spans="1:4">
      <c r="A431" s="401" t="s">
        <v>319</v>
      </c>
      <c r="B431" s="400">
        <v>23068</v>
      </c>
      <c r="C431" s="399">
        <v>23</v>
      </c>
      <c r="D431" s="402" t="s">
        <v>564</v>
      </c>
    </row>
    <row r="432" spans="1:4">
      <c r="A432" s="401" t="s">
        <v>320</v>
      </c>
      <c r="B432" s="400">
        <v>23079</v>
      </c>
      <c r="C432" s="399">
        <v>23</v>
      </c>
      <c r="D432" s="402" t="s">
        <v>564</v>
      </c>
    </row>
    <row r="433" spans="1:4">
      <c r="A433" s="401" t="s">
        <v>321</v>
      </c>
      <c r="B433" s="400">
        <v>23090</v>
      </c>
      <c r="C433" s="399">
        <v>23</v>
      </c>
      <c r="D433" s="402" t="s">
        <v>564</v>
      </c>
    </row>
    <row r="434" spans="1:4">
      <c r="A434" s="401" t="s">
        <v>322</v>
      </c>
      <c r="B434" s="400">
        <v>23162</v>
      </c>
      <c r="C434" s="399">
        <v>23</v>
      </c>
      <c r="D434" s="402" t="s">
        <v>564</v>
      </c>
    </row>
    <row r="435" spans="1:4">
      <c r="A435" s="401" t="s">
        <v>323</v>
      </c>
      <c r="B435" s="400">
        <v>23168</v>
      </c>
      <c r="C435" s="399">
        <v>23</v>
      </c>
      <c r="D435" s="402" t="s">
        <v>564</v>
      </c>
    </row>
    <row r="436" spans="1:4">
      <c r="A436" s="401" t="s">
        <v>324</v>
      </c>
      <c r="B436" s="400">
        <v>23182</v>
      </c>
      <c r="C436" s="399">
        <v>23</v>
      </c>
      <c r="D436" s="402" t="s">
        <v>564</v>
      </c>
    </row>
    <row r="437" spans="1:4">
      <c r="A437" s="401" t="s">
        <v>325</v>
      </c>
      <c r="B437" s="400">
        <v>23189</v>
      </c>
      <c r="C437" s="399">
        <v>23</v>
      </c>
      <c r="D437" s="402" t="s">
        <v>564</v>
      </c>
    </row>
    <row r="438" spans="1:4">
      <c r="A438" s="401" t="s">
        <v>326</v>
      </c>
      <c r="B438" s="400">
        <v>23300</v>
      </c>
      <c r="C438" s="399">
        <v>23</v>
      </c>
      <c r="D438" s="402" t="s">
        <v>564</v>
      </c>
    </row>
    <row r="439" spans="1:4">
      <c r="A439" s="401" t="s">
        <v>327</v>
      </c>
      <c r="B439" s="400">
        <v>23350</v>
      </c>
      <c r="C439" s="399">
        <v>23</v>
      </c>
      <c r="D439" s="402" t="s">
        <v>564</v>
      </c>
    </row>
    <row r="440" spans="1:4">
      <c r="A440" s="401" t="s">
        <v>328</v>
      </c>
      <c r="B440" s="400">
        <v>23417</v>
      </c>
      <c r="C440" s="399">
        <v>23</v>
      </c>
      <c r="D440" s="402" t="s">
        <v>564</v>
      </c>
    </row>
    <row r="441" spans="1:4">
      <c r="A441" s="401" t="s">
        <v>329</v>
      </c>
      <c r="B441" s="400">
        <v>23419</v>
      </c>
      <c r="C441" s="399">
        <v>23</v>
      </c>
      <c r="D441" s="402" t="s">
        <v>564</v>
      </c>
    </row>
    <row r="442" spans="1:4">
      <c r="A442" s="401" t="s">
        <v>330</v>
      </c>
      <c r="B442" s="400">
        <v>23464</v>
      </c>
      <c r="C442" s="399">
        <v>23</v>
      </c>
      <c r="D442" s="402" t="s">
        <v>564</v>
      </c>
    </row>
    <row r="443" spans="1:4">
      <c r="A443" s="401" t="s">
        <v>331</v>
      </c>
      <c r="B443" s="400">
        <v>23466</v>
      </c>
      <c r="C443" s="399">
        <v>23</v>
      </c>
      <c r="D443" s="402" t="s">
        <v>564</v>
      </c>
    </row>
    <row r="444" spans="1:4">
      <c r="A444" s="401" t="s">
        <v>332</v>
      </c>
      <c r="B444" s="400">
        <v>23500</v>
      </c>
      <c r="C444" s="399">
        <v>23</v>
      </c>
      <c r="D444" s="402" t="s">
        <v>564</v>
      </c>
    </row>
    <row r="445" spans="1:4">
      <c r="A445" s="401" t="s">
        <v>333</v>
      </c>
      <c r="B445" s="400">
        <v>23555</v>
      </c>
      <c r="C445" s="399">
        <v>23</v>
      </c>
      <c r="D445" s="402" t="s">
        <v>564</v>
      </c>
    </row>
    <row r="446" spans="1:4">
      <c r="A446" s="401" t="s">
        <v>334</v>
      </c>
      <c r="B446" s="400">
        <v>23570</v>
      </c>
      <c r="C446" s="399">
        <v>23</v>
      </c>
      <c r="D446" s="402" t="s">
        <v>564</v>
      </c>
    </row>
    <row r="447" spans="1:4">
      <c r="A447" s="401" t="s">
        <v>335</v>
      </c>
      <c r="B447" s="400">
        <v>23574</v>
      </c>
      <c r="C447" s="399">
        <v>23</v>
      </c>
      <c r="D447" s="402" t="s">
        <v>564</v>
      </c>
    </row>
    <row r="448" spans="1:4">
      <c r="A448" s="401" t="s">
        <v>336</v>
      </c>
      <c r="B448" s="400">
        <v>23580</v>
      </c>
      <c r="C448" s="399">
        <v>23</v>
      </c>
      <c r="D448" s="402" t="s">
        <v>564</v>
      </c>
    </row>
    <row r="449" spans="1:4">
      <c r="A449" s="401" t="s">
        <v>337</v>
      </c>
      <c r="B449" s="400">
        <v>23586</v>
      </c>
      <c r="C449" s="399">
        <v>23</v>
      </c>
      <c r="D449" s="402" t="s">
        <v>564</v>
      </c>
    </row>
    <row r="450" spans="1:4">
      <c r="A450" s="401" t="s">
        <v>338</v>
      </c>
      <c r="B450" s="400">
        <v>23660</v>
      </c>
      <c r="C450" s="399">
        <v>23</v>
      </c>
      <c r="D450" s="402" t="s">
        <v>564</v>
      </c>
    </row>
    <row r="451" spans="1:4">
      <c r="A451" s="401" t="s">
        <v>339</v>
      </c>
      <c r="B451" s="400">
        <v>23670</v>
      </c>
      <c r="C451" s="399">
        <v>23</v>
      </c>
      <c r="D451" s="402" t="s">
        <v>564</v>
      </c>
    </row>
    <row r="452" spans="1:4">
      <c r="A452" s="401" t="s">
        <v>340</v>
      </c>
      <c r="B452" s="400">
        <v>23672</v>
      </c>
      <c r="C452" s="399">
        <v>23</v>
      </c>
      <c r="D452" s="402" t="s">
        <v>564</v>
      </c>
    </row>
    <row r="453" spans="1:4">
      <c r="A453" s="401" t="s">
        <v>341</v>
      </c>
      <c r="B453" s="400">
        <v>23675</v>
      </c>
      <c r="C453" s="399">
        <v>23</v>
      </c>
      <c r="D453" s="402" t="s">
        <v>564</v>
      </c>
    </row>
    <row r="454" spans="1:4">
      <c r="A454" s="401" t="s">
        <v>342</v>
      </c>
      <c r="B454" s="400">
        <v>23678</v>
      </c>
      <c r="C454" s="399">
        <v>23</v>
      </c>
      <c r="D454" s="402" t="s">
        <v>564</v>
      </c>
    </row>
    <row r="455" spans="1:4">
      <c r="A455" s="401" t="s">
        <v>343</v>
      </c>
      <c r="B455" s="400">
        <v>23682</v>
      </c>
      <c r="C455" s="399">
        <v>23</v>
      </c>
      <c r="D455" s="402" t="s">
        <v>564</v>
      </c>
    </row>
    <row r="456" spans="1:4">
      <c r="A456" s="401" t="s">
        <v>344</v>
      </c>
      <c r="B456" s="400">
        <v>23686</v>
      </c>
      <c r="C456" s="399">
        <v>23</v>
      </c>
      <c r="D456" s="402" t="s">
        <v>564</v>
      </c>
    </row>
    <row r="457" spans="1:4">
      <c r="A457" s="401" t="s">
        <v>345</v>
      </c>
      <c r="B457" s="400">
        <v>23807</v>
      </c>
      <c r="C457" s="399">
        <v>23</v>
      </c>
      <c r="D457" s="402" t="s">
        <v>564</v>
      </c>
    </row>
    <row r="458" spans="1:4">
      <c r="A458" s="401" t="s">
        <v>346</v>
      </c>
      <c r="B458" s="400">
        <v>23815</v>
      </c>
      <c r="C458" s="399">
        <v>23</v>
      </c>
      <c r="D458" s="402" t="s">
        <v>564</v>
      </c>
    </row>
    <row r="459" spans="1:4">
      <c r="A459" s="401" t="s">
        <v>347</v>
      </c>
      <c r="B459" s="400">
        <v>23855</v>
      </c>
      <c r="C459" s="399">
        <v>23</v>
      </c>
      <c r="D459" s="402" t="s">
        <v>564</v>
      </c>
    </row>
    <row r="460" spans="1:4">
      <c r="A460" s="401" t="s">
        <v>349</v>
      </c>
      <c r="B460" s="400">
        <v>25001</v>
      </c>
      <c r="C460" s="399">
        <v>25</v>
      </c>
      <c r="D460" s="402" t="s">
        <v>928</v>
      </c>
    </row>
    <row r="461" spans="1:4">
      <c r="A461" s="401" t="s">
        <v>929</v>
      </c>
      <c r="B461" s="400">
        <v>25019</v>
      </c>
      <c r="C461" s="399">
        <v>25</v>
      </c>
      <c r="D461" s="402" t="s">
        <v>928</v>
      </c>
    </row>
    <row r="462" spans="1:4">
      <c r="A462" s="401" t="s">
        <v>930</v>
      </c>
      <c r="B462" s="400">
        <v>25035</v>
      </c>
      <c r="C462" s="399">
        <v>25</v>
      </c>
      <c r="D462" s="402" t="s">
        <v>928</v>
      </c>
    </row>
    <row r="463" spans="1:4">
      <c r="A463" s="401" t="s">
        <v>931</v>
      </c>
      <c r="B463" s="400">
        <v>25040</v>
      </c>
      <c r="C463" s="399">
        <v>25</v>
      </c>
      <c r="D463" s="402" t="s">
        <v>928</v>
      </c>
    </row>
    <row r="464" spans="1:4">
      <c r="A464" s="401" t="s">
        <v>932</v>
      </c>
      <c r="B464" s="400">
        <v>25053</v>
      </c>
      <c r="C464" s="399">
        <v>25</v>
      </c>
      <c r="D464" s="402" t="s">
        <v>928</v>
      </c>
    </row>
    <row r="465" spans="1:4">
      <c r="A465" s="401" t="s">
        <v>933</v>
      </c>
      <c r="B465" s="400">
        <v>25086</v>
      </c>
      <c r="C465" s="399">
        <v>25</v>
      </c>
      <c r="D465" s="402" t="s">
        <v>928</v>
      </c>
    </row>
    <row r="466" spans="1:4">
      <c r="A466" s="401" t="s">
        <v>934</v>
      </c>
      <c r="B466" s="400">
        <v>25095</v>
      </c>
      <c r="C466" s="399">
        <v>25</v>
      </c>
      <c r="D466" s="402" t="s">
        <v>928</v>
      </c>
    </row>
    <row r="467" spans="1:4">
      <c r="A467" s="401" t="s">
        <v>935</v>
      </c>
      <c r="B467" s="400">
        <v>25099</v>
      </c>
      <c r="C467" s="399">
        <v>25</v>
      </c>
      <c r="D467" s="402" t="s">
        <v>928</v>
      </c>
    </row>
    <row r="468" spans="1:4">
      <c r="A468" s="401" t="s">
        <v>351</v>
      </c>
      <c r="B468" s="400">
        <v>25120</v>
      </c>
      <c r="C468" s="399">
        <v>25</v>
      </c>
      <c r="D468" s="402" t="s">
        <v>928</v>
      </c>
    </row>
    <row r="469" spans="1:4">
      <c r="A469" s="401" t="s">
        <v>936</v>
      </c>
      <c r="B469" s="400">
        <v>25123</v>
      </c>
      <c r="C469" s="399">
        <v>25</v>
      </c>
      <c r="D469" s="402" t="s">
        <v>928</v>
      </c>
    </row>
    <row r="470" spans="1:4">
      <c r="A470" s="401" t="s">
        <v>352</v>
      </c>
      <c r="B470" s="400">
        <v>25126</v>
      </c>
      <c r="C470" s="399">
        <v>25</v>
      </c>
      <c r="D470" s="402" t="s">
        <v>928</v>
      </c>
    </row>
    <row r="471" spans="1:4">
      <c r="A471" s="401" t="s">
        <v>937</v>
      </c>
      <c r="B471" s="400">
        <v>25148</v>
      </c>
      <c r="C471" s="399">
        <v>25</v>
      </c>
      <c r="D471" s="402" t="s">
        <v>928</v>
      </c>
    </row>
    <row r="472" spans="1:4">
      <c r="A472" s="401" t="s">
        <v>353</v>
      </c>
      <c r="B472" s="400">
        <v>25151</v>
      </c>
      <c r="C472" s="399">
        <v>25</v>
      </c>
      <c r="D472" s="402" t="s">
        <v>928</v>
      </c>
    </row>
    <row r="473" spans="1:4">
      <c r="A473" s="401" t="s">
        <v>938</v>
      </c>
      <c r="B473" s="400">
        <v>25154</v>
      </c>
      <c r="C473" s="399">
        <v>25</v>
      </c>
      <c r="D473" s="402" t="s">
        <v>928</v>
      </c>
    </row>
    <row r="474" spans="1:4">
      <c r="A474" s="401" t="s">
        <v>939</v>
      </c>
      <c r="B474" s="400">
        <v>25168</v>
      </c>
      <c r="C474" s="399">
        <v>25</v>
      </c>
      <c r="D474" s="402" t="s">
        <v>928</v>
      </c>
    </row>
    <row r="475" spans="1:4">
      <c r="A475" s="401" t="s">
        <v>354</v>
      </c>
      <c r="B475" s="400">
        <v>25175</v>
      </c>
      <c r="C475" s="399">
        <v>25</v>
      </c>
      <c r="D475" s="402" t="s">
        <v>928</v>
      </c>
    </row>
    <row r="476" spans="1:4">
      <c r="A476" s="401" t="s">
        <v>940</v>
      </c>
      <c r="B476" s="400">
        <v>25178</v>
      </c>
      <c r="C476" s="399">
        <v>25</v>
      </c>
      <c r="D476" s="402" t="s">
        <v>928</v>
      </c>
    </row>
    <row r="477" spans="1:4">
      <c r="A477" s="401" t="s">
        <v>941</v>
      </c>
      <c r="B477" s="400">
        <v>25181</v>
      </c>
      <c r="C477" s="399">
        <v>25</v>
      </c>
      <c r="D477" s="402" t="s">
        <v>928</v>
      </c>
    </row>
    <row r="478" spans="1:4">
      <c r="A478" s="401" t="s">
        <v>355</v>
      </c>
      <c r="B478" s="400">
        <v>25183</v>
      </c>
      <c r="C478" s="399">
        <v>25</v>
      </c>
      <c r="D478" s="402" t="s">
        <v>928</v>
      </c>
    </row>
    <row r="479" spans="1:4">
      <c r="A479" s="401" t="s">
        <v>356</v>
      </c>
      <c r="B479" s="400">
        <v>25200</v>
      </c>
      <c r="C479" s="399">
        <v>25</v>
      </c>
      <c r="D479" s="402" t="s">
        <v>928</v>
      </c>
    </row>
    <row r="480" spans="1:4">
      <c r="A480" s="401" t="s">
        <v>942</v>
      </c>
      <c r="B480" s="400">
        <v>25214</v>
      </c>
      <c r="C480" s="399">
        <v>25</v>
      </c>
      <c r="D480" s="402" t="s">
        <v>928</v>
      </c>
    </row>
    <row r="481" spans="1:4">
      <c r="A481" s="401" t="s">
        <v>357</v>
      </c>
      <c r="B481" s="400">
        <v>25224</v>
      </c>
      <c r="C481" s="399">
        <v>25</v>
      </c>
      <c r="D481" s="402" t="s">
        <v>928</v>
      </c>
    </row>
    <row r="482" spans="1:4">
      <c r="A482" s="401" t="s">
        <v>358</v>
      </c>
      <c r="B482" s="400">
        <v>25245</v>
      </c>
      <c r="C482" s="399">
        <v>25</v>
      </c>
      <c r="D482" s="402" t="s">
        <v>928</v>
      </c>
    </row>
    <row r="483" spans="1:4">
      <c r="A483" s="401" t="s">
        <v>809</v>
      </c>
      <c r="B483" s="400">
        <v>25258</v>
      </c>
      <c r="C483" s="399">
        <v>25</v>
      </c>
      <c r="D483" s="402" t="s">
        <v>928</v>
      </c>
    </row>
    <row r="484" spans="1:4">
      <c r="A484" s="401" t="s">
        <v>359</v>
      </c>
      <c r="B484" s="400">
        <v>25260</v>
      </c>
      <c r="C484" s="399">
        <v>25</v>
      </c>
      <c r="D484" s="402" t="s">
        <v>928</v>
      </c>
    </row>
    <row r="485" spans="1:4">
      <c r="A485" s="401" t="s">
        <v>360</v>
      </c>
      <c r="B485" s="400">
        <v>25269</v>
      </c>
      <c r="C485" s="399">
        <v>25</v>
      </c>
      <c r="D485" s="402" t="s">
        <v>928</v>
      </c>
    </row>
    <row r="486" spans="1:4">
      <c r="A486" s="401" t="s">
        <v>943</v>
      </c>
      <c r="B486" s="400">
        <v>25279</v>
      </c>
      <c r="C486" s="399">
        <v>25</v>
      </c>
      <c r="D486" s="402" t="s">
        <v>928</v>
      </c>
    </row>
    <row r="487" spans="1:4">
      <c r="A487" s="401" t="s">
        <v>944</v>
      </c>
      <c r="B487" s="400">
        <v>25281</v>
      </c>
      <c r="C487" s="399">
        <v>25</v>
      </c>
      <c r="D487" s="402" t="s">
        <v>928</v>
      </c>
    </row>
    <row r="488" spans="1:4">
      <c r="A488" s="401" t="s">
        <v>361</v>
      </c>
      <c r="B488" s="400">
        <v>25286</v>
      </c>
      <c r="C488" s="399">
        <v>25</v>
      </c>
      <c r="D488" s="402" t="s">
        <v>928</v>
      </c>
    </row>
    <row r="489" spans="1:4">
      <c r="A489" s="401" t="s">
        <v>945</v>
      </c>
      <c r="B489" s="400">
        <v>25288</v>
      </c>
      <c r="C489" s="399">
        <v>25</v>
      </c>
      <c r="D489" s="402" t="s">
        <v>928</v>
      </c>
    </row>
    <row r="490" spans="1:4">
      <c r="A490" s="401" t="s">
        <v>362</v>
      </c>
      <c r="B490" s="400">
        <v>25290</v>
      </c>
      <c r="C490" s="399">
        <v>25</v>
      </c>
      <c r="D490" s="402" t="s">
        <v>928</v>
      </c>
    </row>
    <row r="491" spans="1:4">
      <c r="A491" s="401" t="s">
        <v>946</v>
      </c>
      <c r="B491" s="400">
        <v>25293</v>
      </c>
      <c r="C491" s="399">
        <v>25</v>
      </c>
      <c r="D491" s="402" t="s">
        <v>928</v>
      </c>
    </row>
    <row r="492" spans="1:4">
      <c r="A492" s="401" t="s">
        <v>947</v>
      </c>
      <c r="B492" s="400">
        <v>25295</v>
      </c>
      <c r="C492" s="399">
        <v>25</v>
      </c>
      <c r="D492" s="402" t="s">
        <v>928</v>
      </c>
    </row>
    <row r="493" spans="1:4">
      <c r="A493" s="401" t="s">
        <v>948</v>
      </c>
      <c r="B493" s="400">
        <v>25297</v>
      </c>
      <c r="C493" s="399">
        <v>25</v>
      </c>
      <c r="D493" s="402" t="s">
        <v>928</v>
      </c>
    </row>
    <row r="494" spans="1:4">
      <c r="A494" s="401" t="s">
        <v>363</v>
      </c>
      <c r="B494" s="400">
        <v>25299</v>
      </c>
      <c r="C494" s="399">
        <v>25</v>
      </c>
      <c r="D494" s="402" t="s">
        <v>928</v>
      </c>
    </row>
    <row r="495" spans="1:4">
      <c r="A495" s="401" t="s">
        <v>364</v>
      </c>
      <c r="B495" s="400">
        <v>25307</v>
      </c>
      <c r="C495" s="399">
        <v>25</v>
      </c>
      <c r="D495" s="402" t="s">
        <v>928</v>
      </c>
    </row>
    <row r="496" spans="1:4">
      <c r="A496" s="401" t="s">
        <v>118</v>
      </c>
      <c r="B496" s="400">
        <v>25312</v>
      </c>
      <c r="C496" s="399">
        <v>25</v>
      </c>
      <c r="D496" s="402" t="s">
        <v>928</v>
      </c>
    </row>
    <row r="497" spans="1:4">
      <c r="A497" s="401" t="s">
        <v>949</v>
      </c>
      <c r="B497" s="400">
        <v>25317</v>
      </c>
      <c r="C497" s="399">
        <v>25</v>
      </c>
      <c r="D497" s="402" t="s">
        <v>928</v>
      </c>
    </row>
    <row r="498" spans="1:4">
      <c r="A498" s="401" t="s">
        <v>365</v>
      </c>
      <c r="B498" s="400">
        <v>25320</v>
      </c>
      <c r="C498" s="399">
        <v>25</v>
      </c>
      <c r="D498" s="402" t="s">
        <v>928</v>
      </c>
    </row>
    <row r="499" spans="1:4">
      <c r="A499" s="401" t="s">
        <v>950</v>
      </c>
      <c r="B499" s="400">
        <v>25322</v>
      </c>
      <c r="C499" s="399">
        <v>25</v>
      </c>
      <c r="D499" s="402" t="s">
        <v>928</v>
      </c>
    </row>
    <row r="500" spans="1:4">
      <c r="A500" s="401" t="s">
        <v>951</v>
      </c>
      <c r="B500" s="400">
        <v>25324</v>
      </c>
      <c r="C500" s="399">
        <v>25</v>
      </c>
      <c r="D500" s="402" t="s">
        <v>928</v>
      </c>
    </row>
    <row r="501" spans="1:4">
      <c r="A501" s="401" t="s">
        <v>366</v>
      </c>
      <c r="B501" s="400">
        <v>25326</v>
      </c>
      <c r="C501" s="399">
        <v>25</v>
      </c>
      <c r="D501" s="402" t="s">
        <v>928</v>
      </c>
    </row>
    <row r="502" spans="1:4">
      <c r="A502" s="401" t="s">
        <v>952</v>
      </c>
      <c r="B502" s="400">
        <v>25328</v>
      </c>
      <c r="C502" s="399">
        <v>25</v>
      </c>
      <c r="D502" s="402" t="s">
        <v>928</v>
      </c>
    </row>
    <row r="503" spans="1:4">
      <c r="A503" s="401" t="s">
        <v>953</v>
      </c>
      <c r="B503" s="400">
        <v>25335</v>
      </c>
      <c r="C503" s="399">
        <v>25</v>
      </c>
      <c r="D503" s="402" t="s">
        <v>928</v>
      </c>
    </row>
    <row r="504" spans="1:4">
      <c r="A504" s="401" t="s">
        <v>954</v>
      </c>
      <c r="B504" s="400">
        <v>25339</v>
      </c>
      <c r="C504" s="399">
        <v>25</v>
      </c>
      <c r="D504" s="402" t="s">
        <v>928</v>
      </c>
    </row>
    <row r="505" spans="1:4">
      <c r="A505" s="401" t="s">
        <v>955</v>
      </c>
      <c r="B505" s="400">
        <v>25368</v>
      </c>
      <c r="C505" s="399">
        <v>25</v>
      </c>
      <c r="D505" s="402" t="s">
        <v>928</v>
      </c>
    </row>
    <row r="506" spans="1:4">
      <c r="A506" s="401" t="s">
        <v>956</v>
      </c>
      <c r="B506" s="400">
        <v>25372</v>
      </c>
      <c r="C506" s="399">
        <v>25</v>
      </c>
      <c r="D506" s="402" t="s">
        <v>928</v>
      </c>
    </row>
    <row r="507" spans="1:4">
      <c r="A507" s="401" t="s">
        <v>367</v>
      </c>
      <c r="B507" s="400">
        <v>25377</v>
      </c>
      <c r="C507" s="399">
        <v>25</v>
      </c>
      <c r="D507" s="402" t="s">
        <v>928</v>
      </c>
    </row>
    <row r="508" spans="1:4">
      <c r="A508" s="401" t="s">
        <v>368</v>
      </c>
      <c r="B508" s="400">
        <v>25386</v>
      </c>
      <c r="C508" s="399">
        <v>25</v>
      </c>
      <c r="D508" s="402" t="s">
        <v>928</v>
      </c>
    </row>
    <row r="509" spans="1:4">
      <c r="A509" s="401" t="s">
        <v>369</v>
      </c>
      <c r="B509" s="400">
        <v>25394</v>
      </c>
      <c r="C509" s="399">
        <v>25</v>
      </c>
      <c r="D509" s="402" t="s">
        <v>928</v>
      </c>
    </row>
    <row r="510" spans="1:4">
      <c r="A510" s="401" t="s">
        <v>957</v>
      </c>
      <c r="B510" s="400">
        <v>25398</v>
      </c>
      <c r="C510" s="399">
        <v>25</v>
      </c>
      <c r="D510" s="402" t="s">
        <v>928</v>
      </c>
    </row>
    <row r="511" spans="1:4">
      <c r="A511" s="401" t="s">
        <v>274</v>
      </c>
      <c r="B511" s="400">
        <v>25402</v>
      </c>
      <c r="C511" s="399">
        <v>25</v>
      </c>
      <c r="D511" s="402" t="s">
        <v>928</v>
      </c>
    </row>
    <row r="512" spans="1:4">
      <c r="A512" s="401" t="s">
        <v>958</v>
      </c>
      <c r="B512" s="400">
        <v>25407</v>
      </c>
      <c r="C512" s="399">
        <v>25</v>
      </c>
      <c r="D512" s="402" t="s">
        <v>928</v>
      </c>
    </row>
    <row r="513" spans="1:4">
      <c r="A513" s="401" t="s">
        <v>959</v>
      </c>
      <c r="B513" s="400">
        <v>25426</v>
      </c>
      <c r="C513" s="399">
        <v>25</v>
      </c>
      <c r="D513" s="402" t="s">
        <v>928</v>
      </c>
    </row>
    <row r="514" spans="1:4">
      <c r="A514" s="401" t="s">
        <v>370</v>
      </c>
      <c r="B514" s="400">
        <v>25430</v>
      </c>
      <c r="C514" s="399">
        <v>25</v>
      </c>
      <c r="D514" s="402" t="s">
        <v>928</v>
      </c>
    </row>
    <row r="515" spans="1:4">
      <c r="A515" s="401" t="s">
        <v>960</v>
      </c>
      <c r="B515" s="400">
        <v>25436</v>
      </c>
      <c r="C515" s="399">
        <v>25</v>
      </c>
      <c r="D515" s="402" t="s">
        <v>928</v>
      </c>
    </row>
    <row r="516" spans="1:4">
      <c r="A516" s="401" t="s">
        <v>961</v>
      </c>
      <c r="B516" s="400">
        <v>25438</v>
      </c>
      <c r="C516" s="399">
        <v>25</v>
      </c>
      <c r="D516" s="402" t="s">
        <v>928</v>
      </c>
    </row>
    <row r="517" spans="1:4">
      <c r="A517" s="401" t="s">
        <v>371</v>
      </c>
      <c r="B517" s="400">
        <v>25473</v>
      </c>
      <c r="C517" s="399">
        <v>25</v>
      </c>
      <c r="D517" s="402" t="s">
        <v>928</v>
      </c>
    </row>
    <row r="518" spans="1:4">
      <c r="A518" s="401" t="s">
        <v>123</v>
      </c>
      <c r="B518" s="400">
        <v>25483</v>
      </c>
      <c r="C518" s="399">
        <v>25</v>
      </c>
      <c r="D518" s="402" t="s">
        <v>928</v>
      </c>
    </row>
    <row r="519" spans="1:4">
      <c r="A519" s="401" t="s">
        <v>962</v>
      </c>
      <c r="B519" s="400">
        <v>25486</v>
      </c>
      <c r="C519" s="399">
        <v>25</v>
      </c>
      <c r="D519" s="402" t="s">
        <v>928</v>
      </c>
    </row>
    <row r="520" spans="1:4">
      <c r="A520" s="401" t="s">
        <v>963</v>
      </c>
      <c r="B520" s="400">
        <v>25488</v>
      </c>
      <c r="C520" s="399">
        <v>25</v>
      </c>
      <c r="D520" s="402" t="s">
        <v>928</v>
      </c>
    </row>
    <row r="521" spans="1:4">
      <c r="A521" s="401" t="s">
        <v>964</v>
      </c>
      <c r="B521" s="400">
        <v>25489</v>
      </c>
      <c r="C521" s="399">
        <v>25</v>
      </c>
      <c r="D521" s="402" t="s">
        <v>928</v>
      </c>
    </row>
    <row r="522" spans="1:4">
      <c r="A522" s="401" t="s">
        <v>965</v>
      </c>
      <c r="B522" s="400">
        <v>25491</v>
      </c>
      <c r="C522" s="399">
        <v>25</v>
      </c>
      <c r="D522" s="402" t="s">
        <v>928</v>
      </c>
    </row>
    <row r="523" spans="1:4">
      <c r="A523" s="401" t="s">
        <v>106</v>
      </c>
      <c r="B523" s="400">
        <v>25506</v>
      </c>
      <c r="C523" s="399">
        <v>25</v>
      </c>
      <c r="D523" s="402" t="s">
        <v>928</v>
      </c>
    </row>
    <row r="524" spans="1:4">
      <c r="A524" s="401" t="s">
        <v>372</v>
      </c>
      <c r="B524" s="400">
        <v>25513</v>
      </c>
      <c r="C524" s="399">
        <v>25</v>
      </c>
      <c r="D524" s="402" t="s">
        <v>928</v>
      </c>
    </row>
    <row r="525" spans="1:4">
      <c r="A525" s="401" t="s">
        <v>966</v>
      </c>
      <c r="B525" s="400">
        <v>25518</v>
      </c>
      <c r="C525" s="399">
        <v>25</v>
      </c>
      <c r="D525" s="402" t="s">
        <v>928</v>
      </c>
    </row>
    <row r="526" spans="1:4">
      <c r="A526" s="401" t="s">
        <v>967</v>
      </c>
      <c r="B526" s="400">
        <v>25524</v>
      </c>
      <c r="C526" s="399">
        <v>25</v>
      </c>
      <c r="D526" s="402" t="s">
        <v>928</v>
      </c>
    </row>
    <row r="527" spans="1:4">
      <c r="A527" s="401" t="s">
        <v>968</v>
      </c>
      <c r="B527" s="400">
        <v>25530</v>
      </c>
      <c r="C527" s="399">
        <v>25</v>
      </c>
      <c r="D527" s="402" t="s">
        <v>928</v>
      </c>
    </row>
    <row r="528" spans="1:4">
      <c r="A528" s="401" t="s">
        <v>373</v>
      </c>
      <c r="B528" s="400">
        <v>25535</v>
      </c>
      <c r="C528" s="399">
        <v>25</v>
      </c>
      <c r="D528" s="402" t="s">
        <v>928</v>
      </c>
    </row>
    <row r="529" spans="1:4">
      <c r="A529" s="401" t="s">
        <v>374</v>
      </c>
      <c r="B529" s="400">
        <v>25572</v>
      </c>
      <c r="C529" s="399">
        <v>25</v>
      </c>
      <c r="D529" s="402" t="s">
        <v>928</v>
      </c>
    </row>
    <row r="530" spans="1:4">
      <c r="A530" s="401" t="s">
        <v>969</v>
      </c>
      <c r="B530" s="400">
        <v>25580</v>
      </c>
      <c r="C530" s="399">
        <v>25</v>
      </c>
      <c r="D530" s="402" t="s">
        <v>928</v>
      </c>
    </row>
    <row r="531" spans="1:4">
      <c r="A531" s="401" t="s">
        <v>970</v>
      </c>
      <c r="B531" s="400">
        <v>25592</v>
      </c>
      <c r="C531" s="399">
        <v>25</v>
      </c>
      <c r="D531" s="402" t="s">
        <v>928</v>
      </c>
    </row>
    <row r="532" spans="1:4">
      <c r="A532" s="401" t="s">
        <v>971</v>
      </c>
      <c r="B532" s="400">
        <v>25594</v>
      </c>
      <c r="C532" s="399">
        <v>25</v>
      </c>
      <c r="D532" s="402" t="s">
        <v>928</v>
      </c>
    </row>
    <row r="533" spans="1:4">
      <c r="A533" s="401" t="s">
        <v>972</v>
      </c>
      <c r="B533" s="400">
        <v>25596</v>
      </c>
      <c r="C533" s="399">
        <v>25</v>
      </c>
      <c r="D533" s="402" t="s">
        <v>928</v>
      </c>
    </row>
    <row r="534" spans="1:4">
      <c r="A534" s="401" t="s">
        <v>350</v>
      </c>
      <c r="B534" s="400">
        <v>25599</v>
      </c>
      <c r="C534" s="399">
        <v>25</v>
      </c>
      <c r="D534" s="402" t="s">
        <v>928</v>
      </c>
    </row>
    <row r="535" spans="1:4">
      <c r="A535" s="401" t="s">
        <v>973</v>
      </c>
      <c r="B535" s="400">
        <v>25612</v>
      </c>
      <c r="C535" s="399">
        <v>25</v>
      </c>
      <c r="D535" s="402" t="s">
        <v>928</v>
      </c>
    </row>
    <row r="536" spans="1:4">
      <c r="A536" s="401" t="s">
        <v>974</v>
      </c>
      <c r="B536" s="400">
        <v>25645</v>
      </c>
      <c r="C536" s="399">
        <v>25</v>
      </c>
      <c r="D536" s="402" t="s">
        <v>928</v>
      </c>
    </row>
    <row r="537" spans="1:4">
      <c r="A537" s="401" t="s">
        <v>975</v>
      </c>
      <c r="B537" s="400">
        <v>25649</v>
      </c>
      <c r="C537" s="399">
        <v>25</v>
      </c>
      <c r="D537" s="402" t="s">
        <v>928</v>
      </c>
    </row>
    <row r="538" spans="1:4">
      <c r="A538" s="401" t="s">
        <v>976</v>
      </c>
      <c r="B538" s="400">
        <v>25653</v>
      </c>
      <c r="C538" s="399">
        <v>25</v>
      </c>
      <c r="D538" s="402" t="s">
        <v>928</v>
      </c>
    </row>
    <row r="539" spans="1:4">
      <c r="A539" s="401" t="s">
        <v>375</v>
      </c>
      <c r="B539" s="400">
        <v>25658</v>
      </c>
      <c r="C539" s="399">
        <v>25</v>
      </c>
      <c r="D539" s="402" t="s">
        <v>928</v>
      </c>
    </row>
    <row r="540" spans="1:4">
      <c r="A540" s="401" t="s">
        <v>376</v>
      </c>
      <c r="B540" s="400">
        <v>25662</v>
      </c>
      <c r="C540" s="399">
        <v>25</v>
      </c>
      <c r="D540" s="402" t="s">
        <v>928</v>
      </c>
    </row>
    <row r="541" spans="1:4">
      <c r="A541" s="401" t="s">
        <v>977</v>
      </c>
      <c r="B541" s="400">
        <v>25718</v>
      </c>
      <c r="C541" s="399">
        <v>25</v>
      </c>
      <c r="D541" s="402" t="s">
        <v>928</v>
      </c>
    </row>
    <row r="542" spans="1:4">
      <c r="A542" s="401" t="s">
        <v>978</v>
      </c>
      <c r="B542" s="400">
        <v>25736</v>
      </c>
      <c r="C542" s="399">
        <v>25</v>
      </c>
      <c r="D542" s="402" t="s">
        <v>928</v>
      </c>
    </row>
    <row r="543" spans="1:4">
      <c r="A543" s="401" t="s">
        <v>377</v>
      </c>
      <c r="B543" s="400">
        <v>25740</v>
      </c>
      <c r="C543" s="399">
        <v>25</v>
      </c>
      <c r="D543" s="402" t="s">
        <v>928</v>
      </c>
    </row>
    <row r="544" spans="1:4">
      <c r="A544" s="401" t="s">
        <v>979</v>
      </c>
      <c r="B544" s="400">
        <v>25743</v>
      </c>
      <c r="C544" s="399">
        <v>25</v>
      </c>
      <c r="D544" s="402" t="s">
        <v>928</v>
      </c>
    </row>
    <row r="545" spans="1:4">
      <c r="A545" s="401" t="s">
        <v>378</v>
      </c>
      <c r="B545" s="400">
        <v>25745</v>
      </c>
      <c r="C545" s="399">
        <v>25</v>
      </c>
      <c r="D545" s="402" t="s">
        <v>928</v>
      </c>
    </row>
    <row r="546" spans="1:4">
      <c r="A546" s="401" t="s">
        <v>379</v>
      </c>
      <c r="B546" s="400">
        <v>25754</v>
      </c>
      <c r="C546" s="399">
        <v>25</v>
      </c>
      <c r="D546" s="402" t="s">
        <v>928</v>
      </c>
    </row>
    <row r="547" spans="1:4">
      <c r="A547" s="401" t="s">
        <v>380</v>
      </c>
      <c r="B547" s="400">
        <v>25758</v>
      </c>
      <c r="C547" s="399">
        <v>25</v>
      </c>
      <c r="D547" s="402" t="s">
        <v>928</v>
      </c>
    </row>
    <row r="548" spans="1:4">
      <c r="A548" s="401" t="s">
        <v>980</v>
      </c>
      <c r="B548" s="400">
        <v>25769</v>
      </c>
      <c r="C548" s="399">
        <v>25</v>
      </c>
      <c r="D548" s="402" t="s">
        <v>928</v>
      </c>
    </row>
    <row r="549" spans="1:4">
      <c r="A549" s="401" t="s">
        <v>981</v>
      </c>
      <c r="B549" s="400">
        <v>25772</v>
      </c>
      <c r="C549" s="399">
        <v>25</v>
      </c>
      <c r="D549" s="402" t="s">
        <v>928</v>
      </c>
    </row>
    <row r="550" spans="1:4">
      <c r="A550" s="401" t="s">
        <v>982</v>
      </c>
      <c r="B550" s="400">
        <v>25777</v>
      </c>
      <c r="C550" s="399">
        <v>25</v>
      </c>
      <c r="D550" s="402" t="s">
        <v>928</v>
      </c>
    </row>
    <row r="551" spans="1:4">
      <c r="A551" s="401" t="s">
        <v>983</v>
      </c>
      <c r="B551" s="400">
        <v>25779</v>
      </c>
      <c r="C551" s="399">
        <v>25</v>
      </c>
      <c r="D551" s="402" t="s">
        <v>928</v>
      </c>
    </row>
    <row r="552" spans="1:4">
      <c r="A552" s="401" t="s">
        <v>381</v>
      </c>
      <c r="B552" s="400">
        <v>25781</v>
      </c>
      <c r="C552" s="399">
        <v>25</v>
      </c>
      <c r="D552" s="402" t="s">
        <v>928</v>
      </c>
    </row>
    <row r="553" spans="1:4">
      <c r="A553" s="401" t="s">
        <v>984</v>
      </c>
      <c r="B553" s="400">
        <v>25785</v>
      </c>
      <c r="C553" s="399">
        <v>25</v>
      </c>
      <c r="D553" s="402" t="s">
        <v>928</v>
      </c>
    </row>
    <row r="554" spans="1:4">
      <c r="A554" s="401" t="s">
        <v>985</v>
      </c>
      <c r="B554" s="400">
        <v>25793</v>
      </c>
      <c r="C554" s="399">
        <v>25</v>
      </c>
      <c r="D554" s="402" t="s">
        <v>928</v>
      </c>
    </row>
    <row r="555" spans="1:4">
      <c r="A555" s="401" t="s">
        <v>986</v>
      </c>
      <c r="B555" s="400">
        <v>25797</v>
      </c>
      <c r="C555" s="399">
        <v>25</v>
      </c>
      <c r="D555" s="402" t="s">
        <v>928</v>
      </c>
    </row>
    <row r="556" spans="1:4">
      <c r="A556" s="401" t="s">
        <v>382</v>
      </c>
      <c r="B556" s="400">
        <v>25799</v>
      </c>
      <c r="C556" s="399">
        <v>25</v>
      </c>
      <c r="D556" s="402" t="s">
        <v>928</v>
      </c>
    </row>
    <row r="557" spans="1:4">
      <c r="A557" s="401" t="s">
        <v>987</v>
      </c>
      <c r="B557" s="400">
        <v>25805</v>
      </c>
      <c r="C557" s="399">
        <v>25</v>
      </c>
      <c r="D557" s="402" t="s">
        <v>928</v>
      </c>
    </row>
    <row r="558" spans="1:4">
      <c r="A558" s="401" t="s">
        <v>988</v>
      </c>
      <c r="B558" s="400">
        <v>25807</v>
      </c>
      <c r="C558" s="399">
        <v>25</v>
      </c>
      <c r="D558" s="402" t="s">
        <v>928</v>
      </c>
    </row>
    <row r="559" spans="1:4">
      <c r="A559" s="401" t="s">
        <v>383</v>
      </c>
      <c r="B559" s="400">
        <v>25815</v>
      </c>
      <c r="C559" s="399">
        <v>25</v>
      </c>
      <c r="D559" s="402" t="s">
        <v>928</v>
      </c>
    </row>
    <row r="560" spans="1:4">
      <c r="A560" s="401" t="s">
        <v>384</v>
      </c>
      <c r="B560" s="400">
        <v>25817</v>
      </c>
      <c r="C560" s="399">
        <v>25</v>
      </c>
      <c r="D560" s="402" t="s">
        <v>928</v>
      </c>
    </row>
    <row r="561" spans="1:4">
      <c r="A561" s="401" t="s">
        <v>989</v>
      </c>
      <c r="B561" s="400">
        <v>25823</v>
      </c>
      <c r="C561" s="399">
        <v>25</v>
      </c>
      <c r="D561" s="402" t="s">
        <v>928</v>
      </c>
    </row>
    <row r="562" spans="1:4">
      <c r="A562" s="401" t="s">
        <v>990</v>
      </c>
      <c r="B562" s="400">
        <v>25839</v>
      </c>
      <c r="C562" s="399">
        <v>25</v>
      </c>
      <c r="D562" s="402" t="s">
        <v>928</v>
      </c>
    </row>
    <row r="563" spans="1:4">
      <c r="A563" s="401" t="s">
        <v>991</v>
      </c>
      <c r="B563" s="400">
        <v>25841</v>
      </c>
      <c r="C563" s="399">
        <v>25</v>
      </c>
      <c r="D563" s="402" t="s">
        <v>928</v>
      </c>
    </row>
    <row r="564" spans="1:4">
      <c r="A564" s="401" t="s">
        <v>386</v>
      </c>
      <c r="B564" s="400">
        <v>25843</v>
      </c>
      <c r="C564" s="399">
        <v>25</v>
      </c>
      <c r="D564" s="402" t="s">
        <v>928</v>
      </c>
    </row>
    <row r="565" spans="1:4">
      <c r="A565" s="401" t="s">
        <v>992</v>
      </c>
      <c r="B565" s="400">
        <v>25845</v>
      </c>
      <c r="C565" s="399">
        <v>25</v>
      </c>
      <c r="D565" s="402" t="s">
        <v>928</v>
      </c>
    </row>
    <row r="566" spans="1:4">
      <c r="A566" s="401" t="s">
        <v>385</v>
      </c>
      <c r="B566" s="400">
        <v>25851</v>
      </c>
      <c r="C566" s="399">
        <v>25</v>
      </c>
      <c r="D566" s="402" t="s">
        <v>928</v>
      </c>
    </row>
    <row r="567" spans="1:4">
      <c r="A567" s="401" t="s">
        <v>993</v>
      </c>
      <c r="B567" s="400">
        <v>25862</v>
      </c>
      <c r="C567" s="399">
        <v>25</v>
      </c>
      <c r="D567" s="402" t="s">
        <v>928</v>
      </c>
    </row>
    <row r="568" spans="1:4">
      <c r="A568" s="401" t="s">
        <v>994</v>
      </c>
      <c r="B568" s="400">
        <v>25867</v>
      </c>
      <c r="C568" s="399">
        <v>25</v>
      </c>
      <c r="D568" s="402" t="s">
        <v>928</v>
      </c>
    </row>
    <row r="569" spans="1:4">
      <c r="A569" s="401" t="s">
        <v>995</v>
      </c>
      <c r="B569" s="400">
        <v>25871</v>
      </c>
      <c r="C569" s="399">
        <v>25</v>
      </c>
      <c r="D569" s="402" t="s">
        <v>928</v>
      </c>
    </row>
    <row r="570" spans="1:4">
      <c r="A570" s="401" t="s">
        <v>996</v>
      </c>
      <c r="B570" s="400">
        <v>25873</v>
      </c>
      <c r="C570" s="399">
        <v>25</v>
      </c>
      <c r="D570" s="402" t="s">
        <v>928</v>
      </c>
    </row>
    <row r="571" spans="1:4">
      <c r="A571" s="401" t="s">
        <v>387</v>
      </c>
      <c r="B571" s="400">
        <v>25875</v>
      </c>
      <c r="C571" s="399">
        <v>25</v>
      </c>
      <c r="D571" s="402" t="s">
        <v>928</v>
      </c>
    </row>
    <row r="572" spans="1:4">
      <c r="A572" s="401" t="s">
        <v>388</v>
      </c>
      <c r="B572" s="400">
        <v>25878</v>
      </c>
      <c r="C572" s="399">
        <v>25</v>
      </c>
      <c r="D572" s="402" t="s">
        <v>928</v>
      </c>
    </row>
    <row r="573" spans="1:4">
      <c r="A573" s="401" t="s">
        <v>389</v>
      </c>
      <c r="B573" s="400">
        <v>25885</v>
      </c>
      <c r="C573" s="399">
        <v>25</v>
      </c>
      <c r="D573" s="402" t="s">
        <v>928</v>
      </c>
    </row>
    <row r="574" spans="1:4">
      <c r="A574" s="401" t="s">
        <v>997</v>
      </c>
      <c r="B574" s="400">
        <v>25898</v>
      </c>
      <c r="C574" s="399">
        <v>25</v>
      </c>
      <c r="D574" s="402" t="s">
        <v>928</v>
      </c>
    </row>
    <row r="575" spans="1:4">
      <c r="A575" s="401" t="s">
        <v>390</v>
      </c>
      <c r="B575" s="400">
        <v>25899</v>
      </c>
      <c r="C575" s="399">
        <v>25</v>
      </c>
      <c r="D575" s="402" t="s">
        <v>928</v>
      </c>
    </row>
    <row r="576" spans="1:4">
      <c r="A576" s="401" t="s">
        <v>392</v>
      </c>
      <c r="B576" s="400">
        <v>27001</v>
      </c>
      <c r="C576" s="399">
        <v>27</v>
      </c>
      <c r="D576" s="402" t="s">
        <v>998</v>
      </c>
    </row>
    <row r="577" spans="1:4">
      <c r="A577" s="401" t="s">
        <v>393</v>
      </c>
      <c r="B577" s="400">
        <v>27006</v>
      </c>
      <c r="C577" s="399">
        <v>27</v>
      </c>
      <c r="D577" s="402" t="s">
        <v>998</v>
      </c>
    </row>
    <row r="578" spans="1:4">
      <c r="A578" s="401" t="s">
        <v>394</v>
      </c>
      <c r="B578" s="400">
        <v>27025</v>
      </c>
      <c r="C578" s="399">
        <v>27</v>
      </c>
      <c r="D578" s="402" t="s">
        <v>998</v>
      </c>
    </row>
    <row r="579" spans="1:4">
      <c r="A579" s="401" t="s">
        <v>999</v>
      </c>
      <c r="B579" s="400">
        <v>27050</v>
      </c>
      <c r="C579" s="399">
        <v>27</v>
      </c>
      <c r="D579" s="402" t="s">
        <v>998</v>
      </c>
    </row>
    <row r="580" spans="1:4">
      <c r="A580" s="401" t="s">
        <v>1000</v>
      </c>
      <c r="B580" s="400">
        <v>27073</v>
      </c>
      <c r="C580" s="399">
        <v>27</v>
      </c>
      <c r="D580" s="402" t="s">
        <v>998</v>
      </c>
    </row>
    <row r="581" spans="1:4">
      <c r="A581" s="401" t="s">
        <v>395</v>
      </c>
      <c r="B581" s="400">
        <v>27075</v>
      </c>
      <c r="C581" s="399">
        <v>27</v>
      </c>
      <c r="D581" s="402" t="s">
        <v>998</v>
      </c>
    </row>
    <row r="582" spans="1:4">
      <c r="A582" s="401" t="s">
        <v>396</v>
      </c>
      <c r="B582" s="400">
        <v>27077</v>
      </c>
      <c r="C582" s="399">
        <v>27</v>
      </c>
      <c r="D582" s="402" t="s">
        <v>998</v>
      </c>
    </row>
    <row r="583" spans="1:4">
      <c r="A583" s="401" t="s">
        <v>397</v>
      </c>
      <c r="B583" s="400">
        <v>27099</v>
      </c>
      <c r="C583" s="399">
        <v>27</v>
      </c>
      <c r="D583" s="402" t="s">
        <v>998</v>
      </c>
    </row>
    <row r="584" spans="1:4">
      <c r="A584" s="401" t="s">
        <v>1001</v>
      </c>
      <c r="B584" s="400">
        <v>27135</v>
      </c>
      <c r="C584" s="399">
        <v>27</v>
      </c>
      <c r="D584" s="402" t="s">
        <v>998</v>
      </c>
    </row>
    <row r="585" spans="1:4">
      <c r="A585" s="401" t="s">
        <v>1002</v>
      </c>
      <c r="B585" s="400">
        <v>27150</v>
      </c>
      <c r="C585" s="399">
        <v>27</v>
      </c>
      <c r="D585" s="402" t="s">
        <v>998</v>
      </c>
    </row>
    <row r="586" spans="1:4">
      <c r="A586" s="401" t="s">
        <v>1003</v>
      </c>
      <c r="B586" s="400">
        <v>27160</v>
      </c>
      <c r="C586" s="399">
        <v>27</v>
      </c>
      <c r="D586" s="402" t="s">
        <v>998</v>
      </c>
    </row>
    <row r="587" spans="1:4">
      <c r="A587" s="401" t="s">
        <v>398</v>
      </c>
      <c r="B587" s="400">
        <v>27205</v>
      </c>
      <c r="C587" s="399">
        <v>27</v>
      </c>
      <c r="D587" s="402" t="s">
        <v>998</v>
      </c>
    </row>
    <row r="588" spans="1:4">
      <c r="A588" s="401" t="s">
        <v>1004</v>
      </c>
      <c r="B588" s="400">
        <v>27245</v>
      </c>
      <c r="C588" s="399">
        <v>27</v>
      </c>
      <c r="D588" s="402" t="s">
        <v>998</v>
      </c>
    </row>
    <row r="589" spans="1:4">
      <c r="A589" s="401" t="s">
        <v>399</v>
      </c>
      <c r="B589" s="400">
        <v>27250</v>
      </c>
      <c r="C589" s="399">
        <v>27</v>
      </c>
      <c r="D589" s="402" t="s">
        <v>998</v>
      </c>
    </row>
    <row r="590" spans="1:4">
      <c r="A590" s="401" t="s">
        <v>400</v>
      </c>
      <c r="B590" s="400">
        <v>27361</v>
      </c>
      <c r="C590" s="399">
        <v>27</v>
      </c>
      <c r="D590" s="402" t="s">
        <v>998</v>
      </c>
    </row>
    <row r="591" spans="1:4">
      <c r="A591" s="401" t="s">
        <v>1005</v>
      </c>
      <c r="B591" s="400">
        <v>27372</v>
      </c>
      <c r="C591" s="399">
        <v>27</v>
      </c>
      <c r="D591" s="402" t="s">
        <v>998</v>
      </c>
    </row>
    <row r="592" spans="1:4">
      <c r="A592" s="401" t="s">
        <v>1006</v>
      </c>
      <c r="B592" s="400">
        <v>27413</v>
      </c>
      <c r="C592" s="399">
        <v>27</v>
      </c>
      <c r="D592" s="402" t="s">
        <v>998</v>
      </c>
    </row>
    <row r="593" spans="1:4">
      <c r="A593" s="401" t="s">
        <v>401</v>
      </c>
      <c r="B593" s="400">
        <v>27425</v>
      </c>
      <c r="C593" s="399">
        <v>27</v>
      </c>
      <c r="D593" s="402" t="s">
        <v>998</v>
      </c>
    </row>
    <row r="594" spans="1:4">
      <c r="A594" s="401" t="s">
        <v>402</v>
      </c>
      <c r="B594" s="400">
        <v>27430</v>
      </c>
      <c r="C594" s="399">
        <v>27</v>
      </c>
      <c r="D594" s="402" t="s">
        <v>998</v>
      </c>
    </row>
    <row r="595" spans="1:4">
      <c r="A595" s="401" t="s">
        <v>1007</v>
      </c>
      <c r="B595" s="400">
        <v>27450</v>
      </c>
      <c r="C595" s="399">
        <v>27</v>
      </c>
      <c r="D595" s="402" t="s">
        <v>998</v>
      </c>
    </row>
    <row r="596" spans="1:4">
      <c r="A596" s="401" t="s">
        <v>1008</v>
      </c>
      <c r="B596" s="400">
        <v>27491</v>
      </c>
      <c r="C596" s="399">
        <v>27</v>
      </c>
      <c r="D596" s="402" t="s">
        <v>998</v>
      </c>
    </row>
    <row r="597" spans="1:4">
      <c r="A597" s="401" t="s">
        <v>1009</v>
      </c>
      <c r="B597" s="400">
        <v>27495</v>
      </c>
      <c r="C597" s="399">
        <v>27</v>
      </c>
      <c r="D597" s="402" t="s">
        <v>998</v>
      </c>
    </row>
    <row r="598" spans="1:4">
      <c r="A598" s="401" t="s">
        <v>1010</v>
      </c>
      <c r="B598" s="400">
        <v>27580</v>
      </c>
      <c r="C598" s="399">
        <v>27</v>
      </c>
      <c r="D598" s="402" t="s">
        <v>998</v>
      </c>
    </row>
    <row r="599" spans="1:4">
      <c r="A599" s="401" t="s">
        <v>1011</v>
      </c>
      <c r="B599" s="400">
        <v>27600</v>
      </c>
      <c r="C599" s="399">
        <v>27</v>
      </c>
      <c r="D599" s="402" t="s">
        <v>998</v>
      </c>
    </row>
    <row r="600" spans="1:4">
      <c r="A600" s="401" t="s">
        <v>403</v>
      </c>
      <c r="B600" s="400">
        <v>27615</v>
      </c>
      <c r="C600" s="399">
        <v>27</v>
      </c>
      <c r="D600" s="402" t="s">
        <v>998</v>
      </c>
    </row>
    <row r="601" spans="1:4">
      <c r="A601" s="401" t="s">
        <v>1012</v>
      </c>
      <c r="B601" s="400">
        <v>27660</v>
      </c>
      <c r="C601" s="399">
        <v>27</v>
      </c>
      <c r="D601" s="402" t="s">
        <v>998</v>
      </c>
    </row>
    <row r="602" spans="1:4">
      <c r="A602" s="401" t="s">
        <v>404</v>
      </c>
      <c r="B602" s="400">
        <v>27745</v>
      </c>
      <c r="C602" s="399">
        <v>27</v>
      </c>
      <c r="D602" s="402" t="s">
        <v>998</v>
      </c>
    </row>
    <row r="603" spans="1:4">
      <c r="A603" s="401" t="s">
        <v>405</v>
      </c>
      <c r="B603" s="400">
        <v>27787</v>
      </c>
      <c r="C603" s="399">
        <v>27</v>
      </c>
      <c r="D603" s="402" t="s">
        <v>998</v>
      </c>
    </row>
    <row r="604" spans="1:4">
      <c r="A604" s="401" t="s">
        <v>406</v>
      </c>
      <c r="B604" s="400">
        <v>27800</v>
      </c>
      <c r="C604" s="399">
        <v>27</v>
      </c>
      <c r="D604" s="402" t="s">
        <v>998</v>
      </c>
    </row>
    <row r="605" spans="1:4">
      <c r="A605" s="401" t="s">
        <v>1013</v>
      </c>
      <c r="B605" s="400">
        <v>27810</v>
      </c>
      <c r="C605" s="399">
        <v>27</v>
      </c>
      <c r="D605" s="402" t="s">
        <v>998</v>
      </c>
    </row>
    <row r="606" spans="1:4">
      <c r="A606" s="401" t="s">
        <v>408</v>
      </c>
      <c r="B606" s="400">
        <v>41001</v>
      </c>
      <c r="C606" s="399">
        <v>41</v>
      </c>
      <c r="D606" s="402" t="s">
        <v>1014</v>
      </c>
    </row>
    <row r="607" spans="1:4">
      <c r="A607" s="401" t="s">
        <v>409</v>
      </c>
      <c r="B607" s="400">
        <v>41006</v>
      </c>
      <c r="C607" s="399">
        <v>41</v>
      </c>
      <c r="D607" s="402" t="s">
        <v>1014</v>
      </c>
    </row>
    <row r="608" spans="1:4">
      <c r="A608" s="401" t="s">
        <v>1015</v>
      </c>
      <c r="B608" s="400">
        <v>41013</v>
      </c>
      <c r="C608" s="399">
        <v>41</v>
      </c>
      <c r="D608" s="402" t="s">
        <v>1014</v>
      </c>
    </row>
    <row r="609" spans="1:4">
      <c r="A609" s="401" t="s">
        <v>410</v>
      </c>
      <c r="B609" s="400">
        <v>41016</v>
      </c>
      <c r="C609" s="399">
        <v>41</v>
      </c>
      <c r="D609" s="402" t="s">
        <v>1014</v>
      </c>
    </row>
    <row r="610" spans="1:4">
      <c r="A610" s="401" t="s">
        <v>411</v>
      </c>
      <c r="B610" s="400">
        <v>41020</v>
      </c>
      <c r="C610" s="399">
        <v>41</v>
      </c>
      <c r="D610" s="402" t="s">
        <v>1014</v>
      </c>
    </row>
    <row r="611" spans="1:4">
      <c r="A611" s="401" t="s">
        <v>1016</v>
      </c>
      <c r="B611" s="400">
        <v>41026</v>
      </c>
      <c r="C611" s="399">
        <v>41</v>
      </c>
      <c r="D611" s="402" t="s">
        <v>1014</v>
      </c>
    </row>
    <row r="612" spans="1:4">
      <c r="A612" s="401" t="s">
        <v>1017</v>
      </c>
      <c r="B612" s="400">
        <v>41078</v>
      </c>
      <c r="C612" s="399">
        <v>41</v>
      </c>
      <c r="D612" s="402" t="s">
        <v>1014</v>
      </c>
    </row>
    <row r="613" spans="1:4">
      <c r="A613" s="401" t="s">
        <v>412</v>
      </c>
      <c r="B613" s="400">
        <v>41132</v>
      </c>
      <c r="C613" s="399">
        <v>41</v>
      </c>
      <c r="D613" s="402" t="s">
        <v>1014</v>
      </c>
    </row>
    <row r="614" spans="1:4">
      <c r="A614" s="401" t="s">
        <v>1018</v>
      </c>
      <c r="B614" s="400">
        <v>41206</v>
      </c>
      <c r="C614" s="399">
        <v>41</v>
      </c>
      <c r="D614" s="402" t="s">
        <v>1014</v>
      </c>
    </row>
    <row r="615" spans="1:4">
      <c r="A615" s="401" t="s">
        <v>1019</v>
      </c>
      <c r="B615" s="400">
        <v>41244</v>
      </c>
      <c r="C615" s="399">
        <v>41</v>
      </c>
      <c r="D615" s="402" t="s">
        <v>1014</v>
      </c>
    </row>
    <row r="616" spans="1:4">
      <c r="A616" s="401" t="s">
        <v>413</v>
      </c>
      <c r="B616" s="400">
        <v>41298</v>
      </c>
      <c r="C616" s="399">
        <v>41</v>
      </c>
      <c r="D616" s="402" t="s">
        <v>1014</v>
      </c>
    </row>
    <row r="617" spans="1:4">
      <c r="A617" s="401" t="s">
        <v>414</v>
      </c>
      <c r="B617" s="400">
        <v>41306</v>
      </c>
      <c r="C617" s="399">
        <v>41</v>
      </c>
      <c r="D617" s="402" t="s">
        <v>1014</v>
      </c>
    </row>
    <row r="618" spans="1:4">
      <c r="A618" s="401" t="s">
        <v>415</v>
      </c>
      <c r="B618" s="400">
        <v>41319</v>
      </c>
      <c r="C618" s="399">
        <v>41</v>
      </c>
      <c r="D618" s="402" t="s">
        <v>1014</v>
      </c>
    </row>
    <row r="619" spans="1:4">
      <c r="A619" s="401" t="s">
        <v>1020</v>
      </c>
      <c r="B619" s="400">
        <v>41349</v>
      </c>
      <c r="C619" s="399">
        <v>41</v>
      </c>
      <c r="D619" s="402" t="s">
        <v>1014</v>
      </c>
    </row>
    <row r="620" spans="1:4">
      <c r="A620" s="401" t="s">
        <v>416</v>
      </c>
      <c r="B620" s="400">
        <v>41357</v>
      </c>
      <c r="C620" s="399">
        <v>41</v>
      </c>
      <c r="D620" s="402" t="s">
        <v>1014</v>
      </c>
    </row>
    <row r="621" spans="1:4">
      <c r="A621" s="401" t="s">
        <v>417</v>
      </c>
      <c r="B621" s="400">
        <v>41359</v>
      </c>
      <c r="C621" s="399">
        <v>41</v>
      </c>
      <c r="D621" s="402" t="s">
        <v>1014</v>
      </c>
    </row>
    <row r="622" spans="1:4">
      <c r="A622" s="401" t="s">
        <v>1021</v>
      </c>
      <c r="B622" s="400">
        <v>41378</v>
      </c>
      <c r="C622" s="399">
        <v>41</v>
      </c>
      <c r="D622" s="402" t="s">
        <v>1014</v>
      </c>
    </row>
    <row r="623" spans="1:4">
      <c r="A623" s="401" t="s">
        <v>418</v>
      </c>
      <c r="B623" s="400">
        <v>41396</v>
      </c>
      <c r="C623" s="399">
        <v>41</v>
      </c>
      <c r="D623" s="402" t="s">
        <v>1014</v>
      </c>
    </row>
    <row r="624" spans="1:4">
      <c r="A624" s="401" t="s">
        <v>419</v>
      </c>
      <c r="B624" s="400">
        <v>41483</v>
      </c>
      <c r="C624" s="399">
        <v>41</v>
      </c>
      <c r="D624" s="402" t="s">
        <v>1014</v>
      </c>
    </row>
    <row r="625" spans="1:4">
      <c r="A625" s="401" t="s">
        <v>1022</v>
      </c>
      <c r="B625" s="400">
        <v>41503</v>
      </c>
      <c r="C625" s="399">
        <v>41</v>
      </c>
      <c r="D625" s="402" t="s">
        <v>1014</v>
      </c>
    </row>
    <row r="626" spans="1:4">
      <c r="A626" s="401" t="s">
        <v>1023</v>
      </c>
      <c r="B626" s="400">
        <v>41518</v>
      </c>
      <c r="C626" s="399">
        <v>41</v>
      </c>
      <c r="D626" s="402" t="s">
        <v>1014</v>
      </c>
    </row>
    <row r="627" spans="1:4">
      <c r="A627" s="401" t="s">
        <v>420</v>
      </c>
      <c r="B627" s="400">
        <v>41524</v>
      </c>
      <c r="C627" s="399">
        <v>41</v>
      </c>
      <c r="D627" s="402" t="s">
        <v>1014</v>
      </c>
    </row>
    <row r="628" spans="1:4">
      <c r="A628" s="401" t="s">
        <v>421</v>
      </c>
      <c r="B628" s="400">
        <v>41530</v>
      </c>
      <c r="C628" s="399">
        <v>41</v>
      </c>
      <c r="D628" s="402" t="s">
        <v>1014</v>
      </c>
    </row>
    <row r="629" spans="1:4">
      <c r="A629" s="401" t="s">
        <v>1024</v>
      </c>
      <c r="B629" s="400">
        <v>41548</v>
      </c>
      <c r="C629" s="399">
        <v>41</v>
      </c>
      <c r="D629" s="402" t="s">
        <v>1014</v>
      </c>
    </row>
    <row r="630" spans="1:4">
      <c r="A630" s="401" t="s">
        <v>422</v>
      </c>
      <c r="B630" s="400">
        <v>41551</v>
      </c>
      <c r="C630" s="399">
        <v>41</v>
      </c>
      <c r="D630" s="402" t="s">
        <v>1014</v>
      </c>
    </row>
    <row r="631" spans="1:4">
      <c r="A631" s="401" t="s">
        <v>423</v>
      </c>
      <c r="B631" s="400">
        <v>41615</v>
      </c>
      <c r="C631" s="399">
        <v>41</v>
      </c>
      <c r="D631" s="402" t="s">
        <v>1014</v>
      </c>
    </row>
    <row r="632" spans="1:4">
      <c r="A632" s="401" t="s">
        <v>1025</v>
      </c>
      <c r="B632" s="400">
        <v>41660</v>
      </c>
      <c r="C632" s="399">
        <v>41</v>
      </c>
      <c r="D632" s="402" t="s">
        <v>1014</v>
      </c>
    </row>
    <row r="633" spans="1:4">
      <c r="A633" s="401" t="s">
        <v>424</v>
      </c>
      <c r="B633" s="400">
        <v>41668</v>
      </c>
      <c r="C633" s="399">
        <v>41</v>
      </c>
      <c r="D633" s="402" t="s">
        <v>1014</v>
      </c>
    </row>
    <row r="634" spans="1:4">
      <c r="A634" s="401" t="s">
        <v>882</v>
      </c>
      <c r="B634" s="400">
        <v>41676</v>
      </c>
      <c r="C634" s="399">
        <v>41</v>
      </c>
      <c r="D634" s="402" t="s">
        <v>1014</v>
      </c>
    </row>
    <row r="635" spans="1:4">
      <c r="A635" s="401" t="s">
        <v>425</v>
      </c>
      <c r="B635" s="400">
        <v>41770</v>
      </c>
      <c r="C635" s="399">
        <v>41</v>
      </c>
      <c r="D635" s="402" t="s">
        <v>1014</v>
      </c>
    </row>
    <row r="636" spans="1:4">
      <c r="A636" s="401" t="s">
        <v>426</v>
      </c>
      <c r="B636" s="400">
        <v>41791</v>
      </c>
      <c r="C636" s="399">
        <v>41</v>
      </c>
      <c r="D636" s="402" t="s">
        <v>1014</v>
      </c>
    </row>
    <row r="637" spans="1:4">
      <c r="A637" s="401" t="s">
        <v>1026</v>
      </c>
      <c r="B637" s="400">
        <v>41797</v>
      </c>
      <c r="C637" s="399">
        <v>41</v>
      </c>
      <c r="D637" s="402" t="s">
        <v>1014</v>
      </c>
    </row>
    <row r="638" spans="1:4">
      <c r="A638" s="401" t="s">
        <v>1027</v>
      </c>
      <c r="B638" s="400">
        <v>41799</v>
      </c>
      <c r="C638" s="399">
        <v>41</v>
      </c>
      <c r="D638" s="402" t="s">
        <v>1014</v>
      </c>
    </row>
    <row r="639" spans="1:4">
      <c r="A639" s="401" t="s">
        <v>1028</v>
      </c>
      <c r="B639" s="400">
        <v>41801</v>
      </c>
      <c r="C639" s="399">
        <v>41</v>
      </c>
      <c r="D639" s="402" t="s">
        <v>1014</v>
      </c>
    </row>
    <row r="640" spans="1:4">
      <c r="A640" s="401" t="s">
        <v>427</v>
      </c>
      <c r="B640" s="400">
        <v>41807</v>
      </c>
      <c r="C640" s="399">
        <v>41</v>
      </c>
      <c r="D640" s="402" t="s">
        <v>1014</v>
      </c>
    </row>
    <row r="641" spans="1:4">
      <c r="A641" s="401" t="s">
        <v>1029</v>
      </c>
      <c r="B641" s="400">
        <v>41872</v>
      </c>
      <c r="C641" s="399">
        <v>41</v>
      </c>
      <c r="D641" s="402" t="s">
        <v>1014</v>
      </c>
    </row>
    <row r="642" spans="1:4">
      <c r="A642" s="401" t="s">
        <v>1030</v>
      </c>
      <c r="B642" s="400">
        <v>41885</v>
      </c>
      <c r="C642" s="399">
        <v>41</v>
      </c>
      <c r="D642" s="402" t="s">
        <v>1014</v>
      </c>
    </row>
    <row r="643" spans="1:4">
      <c r="A643" s="401" t="s">
        <v>429</v>
      </c>
      <c r="B643" s="400">
        <v>44001</v>
      </c>
      <c r="C643" s="399">
        <v>44</v>
      </c>
      <c r="D643" s="402" t="s">
        <v>1031</v>
      </c>
    </row>
    <row r="644" spans="1:4">
      <c r="A644" s="401" t="s">
        <v>430</v>
      </c>
      <c r="B644" s="400">
        <v>44035</v>
      </c>
      <c r="C644" s="399">
        <v>44</v>
      </c>
      <c r="D644" s="402" t="s">
        <v>1031</v>
      </c>
    </row>
    <row r="645" spans="1:4">
      <c r="A645" s="401" t="s">
        <v>431</v>
      </c>
      <c r="B645" s="400">
        <v>44078</v>
      </c>
      <c r="C645" s="399">
        <v>44</v>
      </c>
      <c r="D645" s="402" t="s">
        <v>1031</v>
      </c>
    </row>
    <row r="646" spans="1:4">
      <c r="A646" s="401" t="s">
        <v>432</v>
      </c>
      <c r="B646" s="400">
        <v>44090</v>
      </c>
      <c r="C646" s="399">
        <v>44</v>
      </c>
      <c r="D646" s="402" t="s">
        <v>1031</v>
      </c>
    </row>
    <row r="647" spans="1:4">
      <c r="A647" s="401" t="s">
        <v>1032</v>
      </c>
      <c r="B647" s="400">
        <v>44098</v>
      </c>
      <c r="C647" s="399">
        <v>44</v>
      </c>
      <c r="D647" s="402" t="s">
        <v>1031</v>
      </c>
    </row>
    <row r="648" spans="1:4">
      <c r="A648" s="401" t="s">
        <v>1033</v>
      </c>
      <c r="B648" s="400">
        <v>44110</v>
      </c>
      <c r="C648" s="399">
        <v>44</v>
      </c>
      <c r="D648" s="402" t="s">
        <v>1031</v>
      </c>
    </row>
    <row r="649" spans="1:4">
      <c r="A649" s="401" t="s">
        <v>433</v>
      </c>
      <c r="B649" s="400">
        <v>44279</v>
      </c>
      <c r="C649" s="399">
        <v>44</v>
      </c>
      <c r="D649" s="402" t="s">
        <v>1031</v>
      </c>
    </row>
    <row r="650" spans="1:4">
      <c r="A650" s="401" t="s">
        <v>434</v>
      </c>
      <c r="B650" s="400">
        <v>44378</v>
      </c>
      <c r="C650" s="399">
        <v>44</v>
      </c>
      <c r="D650" s="402" t="s">
        <v>1031</v>
      </c>
    </row>
    <row r="651" spans="1:4">
      <c r="A651" s="401" t="s">
        <v>1034</v>
      </c>
      <c r="B651" s="400">
        <v>44420</v>
      </c>
      <c r="C651" s="399">
        <v>44</v>
      </c>
      <c r="D651" s="402" t="s">
        <v>1031</v>
      </c>
    </row>
    <row r="652" spans="1:4">
      <c r="A652" s="401" t="s">
        <v>435</v>
      </c>
      <c r="B652" s="400">
        <v>44430</v>
      </c>
      <c r="C652" s="399">
        <v>44</v>
      </c>
      <c r="D652" s="402" t="s">
        <v>1031</v>
      </c>
    </row>
    <row r="653" spans="1:4">
      <c r="A653" s="401" t="s">
        <v>436</v>
      </c>
      <c r="B653" s="400">
        <v>44560</v>
      </c>
      <c r="C653" s="399">
        <v>44</v>
      </c>
      <c r="D653" s="402" t="s">
        <v>1031</v>
      </c>
    </row>
    <row r="654" spans="1:4">
      <c r="A654" s="401" t="s">
        <v>437</v>
      </c>
      <c r="B654" s="400">
        <v>44650</v>
      </c>
      <c r="C654" s="399">
        <v>44</v>
      </c>
      <c r="D654" s="402" t="s">
        <v>1031</v>
      </c>
    </row>
    <row r="655" spans="1:4">
      <c r="A655" s="401" t="s">
        <v>438</v>
      </c>
      <c r="B655" s="400">
        <v>44847</v>
      </c>
      <c r="C655" s="399">
        <v>44</v>
      </c>
      <c r="D655" s="402" t="s">
        <v>1031</v>
      </c>
    </row>
    <row r="656" spans="1:4">
      <c r="A656" s="401" t="s">
        <v>439</v>
      </c>
      <c r="B656" s="400">
        <v>44855</v>
      </c>
      <c r="C656" s="399">
        <v>44</v>
      </c>
      <c r="D656" s="402" t="s">
        <v>1031</v>
      </c>
    </row>
    <row r="657" spans="1:4">
      <c r="A657" s="401" t="s">
        <v>440</v>
      </c>
      <c r="B657" s="400">
        <v>44874</v>
      </c>
      <c r="C657" s="399">
        <v>44</v>
      </c>
      <c r="D657" s="402" t="s">
        <v>1031</v>
      </c>
    </row>
    <row r="658" spans="1:4">
      <c r="A658" s="401" t="s">
        <v>442</v>
      </c>
      <c r="B658" s="400">
        <v>47001</v>
      </c>
      <c r="C658" s="399">
        <v>47</v>
      </c>
      <c r="D658" s="402" t="s">
        <v>1035</v>
      </c>
    </row>
    <row r="659" spans="1:4">
      <c r="A659" s="401" t="s">
        <v>443</v>
      </c>
      <c r="B659" s="400">
        <v>47030</v>
      </c>
      <c r="C659" s="399">
        <v>47</v>
      </c>
      <c r="D659" s="402" t="s">
        <v>1035</v>
      </c>
    </row>
    <row r="660" spans="1:4">
      <c r="A660" s="401" t="s">
        <v>444</v>
      </c>
      <c r="B660" s="400">
        <v>47053</v>
      </c>
      <c r="C660" s="399">
        <v>47</v>
      </c>
      <c r="D660" s="402" t="s">
        <v>1035</v>
      </c>
    </row>
    <row r="661" spans="1:4">
      <c r="A661" s="401" t="s">
        <v>445</v>
      </c>
      <c r="B661" s="400">
        <v>47058</v>
      </c>
      <c r="C661" s="399">
        <v>47</v>
      </c>
      <c r="D661" s="402" t="s">
        <v>1035</v>
      </c>
    </row>
    <row r="662" spans="1:4">
      <c r="A662" s="401" t="s">
        <v>446</v>
      </c>
      <c r="B662" s="400">
        <v>47161</v>
      </c>
      <c r="C662" s="399">
        <v>47</v>
      </c>
      <c r="D662" s="402" t="s">
        <v>1035</v>
      </c>
    </row>
    <row r="663" spans="1:4">
      <c r="A663" s="401" t="s">
        <v>447</v>
      </c>
      <c r="B663" s="400">
        <v>47170</v>
      </c>
      <c r="C663" s="399">
        <v>47</v>
      </c>
      <c r="D663" s="402" t="s">
        <v>1035</v>
      </c>
    </row>
    <row r="664" spans="1:4">
      <c r="A664" s="401" t="s">
        <v>448</v>
      </c>
      <c r="B664" s="400">
        <v>47189</v>
      </c>
      <c r="C664" s="399">
        <v>47</v>
      </c>
      <c r="D664" s="402" t="s">
        <v>1035</v>
      </c>
    </row>
    <row r="665" spans="1:4">
      <c r="A665" s="401" t="s">
        <v>449</v>
      </c>
      <c r="B665" s="400">
        <v>47205</v>
      </c>
      <c r="C665" s="399">
        <v>47</v>
      </c>
      <c r="D665" s="402" t="s">
        <v>1035</v>
      </c>
    </row>
    <row r="666" spans="1:4">
      <c r="A666" s="401" t="s">
        <v>450</v>
      </c>
      <c r="B666" s="400">
        <v>47245</v>
      </c>
      <c r="C666" s="399">
        <v>47</v>
      </c>
      <c r="D666" s="402" t="s">
        <v>1035</v>
      </c>
    </row>
    <row r="667" spans="1:4">
      <c r="A667" s="401" t="s">
        <v>451</v>
      </c>
      <c r="B667" s="400">
        <v>47258</v>
      </c>
      <c r="C667" s="399">
        <v>47</v>
      </c>
      <c r="D667" s="402" t="s">
        <v>1035</v>
      </c>
    </row>
    <row r="668" spans="1:4">
      <c r="A668" s="401" t="s">
        <v>452</v>
      </c>
      <c r="B668" s="400">
        <v>47268</v>
      </c>
      <c r="C668" s="399">
        <v>47</v>
      </c>
      <c r="D668" s="402" t="s">
        <v>1035</v>
      </c>
    </row>
    <row r="669" spans="1:4">
      <c r="A669" s="401" t="s">
        <v>453</v>
      </c>
      <c r="B669" s="400">
        <v>47288</v>
      </c>
      <c r="C669" s="399">
        <v>47</v>
      </c>
      <c r="D669" s="402" t="s">
        <v>1035</v>
      </c>
    </row>
    <row r="670" spans="1:4">
      <c r="A670" s="401" t="s">
        <v>454</v>
      </c>
      <c r="B670" s="400">
        <v>47318</v>
      </c>
      <c r="C670" s="399">
        <v>47</v>
      </c>
      <c r="D670" s="402" t="s">
        <v>1035</v>
      </c>
    </row>
    <row r="671" spans="1:4">
      <c r="A671" s="401" t="s">
        <v>455</v>
      </c>
      <c r="B671" s="400">
        <v>47460</v>
      </c>
      <c r="C671" s="399">
        <v>47</v>
      </c>
      <c r="D671" s="402" t="s">
        <v>1035</v>
      </c>
    </row>
    <row r="672" spans="1:4">
      <c r="A672" s="401" t="s">
        <v>456</v>
      </c>
      <c r="B672" s="400">
        <v>47541</v>
      </c>
      <c r="C672" s="399">
        <v>47</v>
      </c>
      <c r="D672" s="402" t="s">
        <v>1035</v>
      </c>
    </row>
    <row r="673" spans="1:4">
      <c r="A673" s="401" t="s">
        <v>1036</v>
      </c>
      <c r="B673" s="400">
        <v>47545</v>
      </c>
      <c r="C673" s="399">
        <v>47</v>
      </c>
      <c r="D673" s="402" t="s">
        <v>1035</v>
      </c>
    </row>
    <row r="674" spans="1:4">
      <c r="A674" s="401" t="s">
        <v>457</v>
      </c>
      <c r="B674" s="400">
        <v>47551</v>
      </c>
      <c r="C674" s="399">
        <v>47</v>
      </c>
      <c r="D674" s="402" t="s">
        <v>1035</v>
      </c>
    </row>
    <row r="675" spans="1:4">
      <c r="A675" s="401" t="s">
        <v>458</v>
      </c>
      <c r="B675" s="400">
        <v>47555</v>
      </c>
      <c r="C675" s="399">
        <v>47</v>
      </c>
      <c r="D675" s="402" t="s">
        <v>1035</v>
      </c>
    </row>
    <row r="676" spans="1:4">
      <c r="A676" s="401" t="s">
        <v>459</v>
      </c>
      <c r="B676" s="400">
        <v>47570</v>
      </c>
      <c r="C676" s="399">
        <v>47</v>
      </c>
      <c r="D676" s="402" t="s">
        <v>1035</v>
      </c>
    </row>
    <row r="677" spans="1:4">
      <c r="A677" s="401" t="s">
        <v>460</v>
      </c>
      <c r="B677" s="400">
        <v>47605</v>
      </c>
      <c r="C677" s="399">
        <v>47</v>
      </c>
      <c r="D677" s="402" t="s">
        <v>1035</v>
      </c>
    </row>
    <row r="678" spans="1:4">
      <c r="A678" s="401" t="s">
        <v>1037</v>
      </c>
      <c r="B678" s="400">
        <v>47660</v>
      </c>
      <c r="C678" s="399">
        <v>47</v>
      </c>
      <c r="D678" s="402" t="s">
        <v>1035</v>
      </c>
    </row>
    <row r="679" spans="1:4">
      <c r="A679" s="401" t="s">
        <v>461</v>
      </c>
      <c r="B679" s="400">
        <v>47675</v>
      </c>
      <c r="C679" s="399">
        <v>47</v>
      </c>
      <c r="D679" s="402" t="s">
        <v>1035</v>
      </c>
    </row>
    <row r="680" spans="1:4">
      <c r="A680" s="401" t="s">
        <v>462</v>
      </c>
      <c r="B680" s="400">
        <v>47692</v>
      </c>
      <c r="C680" s="399">
        <v>47</v>
      </c>
      <c r="D680" s="402" t="s">
        <v>1035</v>
      </c>
    </row>
    <row r="681" spans="1:4">
      <c r="A681" s="401" t="s">
        <v>463</v>
      </c>
      <c r="B681" s="400">
        <v>47703</v>
      </c>
      <c r="C681" s="399">
        <v>47</v>
      </c>
      <c r="D681" s="402" t="s">
        <v>1035</v>
      </c>
    </row>
    <row r="682" spans="1:4">
      <c r="A682" s="401" t="s">
        <v>464</v>
      </c>
      <c r="B682" s="400">
        <v>47707</v>
      </c>
      <c r="C682" s="399">
        <v>47</v>
      </c>
      <c r="D682" s="402" t="s">
        <v>1035</v>
      </c>
    </row>
    <row r="683" spans="1:4">
      <c r="A683" s="401" t="s">
        <v>465</v>
      </c>
      <c r="B683" s="400">
        <v>47720</v>
      </c>
      <c r="C683" s="399">
        <v>47</v>
      </c>
      <c r="D683" s="402" t="s">
        <v>1035</v>
      </c>
    </row>
    <row r="684" spans="1:4">
      <c r="A684" s="401" t="s">
        <v>466</v>
      </c>
      <c r="B684" s="400">
        <v>47745</v>
      </c>
      <c r="C684" s="399">
        <v>47</v>
      </c>
      <c r="D684" s="402" t="s">
        <v>1035</v>
      </c>
    </row>
    <row r="685" spans="1:4">
      <c r="A685" s="401" t="s">
        <v>467</v>
      </c>
      <c r="B685" s="400">
        <v>47798</v>
      </c>
      <c r="C685" s="399">
        <v>47</v>
      </c>
      <c r="D685" s="402" t="s">
        <v>1035</v>
      </c>
    </row>
    <row r="686" spans="1:4">
      <c r="A686" s="401" t="s">
        <v>468</v>
      </c>
      <c r="B686" s="400">
        <v>47960</v>
      </c>
      <c r="C686" s="399">
        <v>47</v>
      </c>
      <c r="D686" s="402" t="s">
        <v>1035</v>
      </c>
    </row>
    <row r="687" spans="1:4">
      <c r="A687" s="401" t="s">
        <v>469</v>
      </c>
      <c r="B687" s="400">
        <v>47980</v>
      </c>
      <c r="C687" s="399">
        <v>47</v>
      </c>
      <c r="D687" s="402" t="s">
        <v>1035</v>
      </c>
    </row>
    <row r="688" spans="1:4">
      <c r="A688" s="401" t="s">
        <v>471</v>
      </c>
      <c r="B688" s="400">
        <v>50001</v>
      </c>
      <c r="C688" s="399">
        <v>50</v>
      </c>
      <c r="D688" s="402" t="s">
        <v>1038</v>
      </c>
    </row>
    <row r="689" spans="1:4">
      <c r="A689" s="401" t="s">
        <v>472</v>
      </c>
      <c r="B689" s="400">
        <v>50006</v>
      </c>
      <c r="C689" s="399">
        <v>50</v>
      </c>
      <c r="D689" s="402" t="s">
        <v>1038</v>
      </c>
    </row>
    <row r="690" spans="1:4">
      <c r="A690" s="401" t="s">
        <v>1039</v>
      </c>
      <c r="B690" s="400">
        <v>50110</v>
      </c>
      <c r="C690" s="399">
        <v>50</v>
      </c>
      <c r="D690" s="402" t="s">
        <v>1038</v>
      </c>
    </row>
    <row r="691" spans="1:4">
      <c r="A691" s="401" t="s">
        <v>1040</v>
      </c>
      <c r="B691" s="400">
        <v>50124</v>
      </c>
      <c r="C691" s="399">
        <v>50</v>
      </c>
      <c r="D691" s="402" t="s">
        <v>1038</v>
      </c>
    </row>
    <row r="692" spans="1:4">
      <c r="A692" s="401" t="s">
        <v>1041</v>
      </c>
      <c r="B692" s="400">
        <v>50150</v>
      </c>
      <c r="C692" s="399">
        <v>50</v>
      </c>
      <c r="D692" s="402" t="s">
        <v>1038</v>
      </c>
    </row>
    <row r="693" spans="1:4">
      <c r="A693" s="401" t="s">
        <v>1042</v>
      </c>
      <c r="B693" s="400">
        <v>50223</v>
      </c>
      <c r="C693" s="399">
        <v>50</v>
      </c>
      <c r="D693" s="402" t="s">
        <v>1038</v>
      </c>
    </row>
    <row r="694" spans="1:4">
      <c r="A694" s="401" t="s">
        <v>473</v>
      </c>
      <c r="B694" s="400">
        <v>50226</v>
      </c>
      <c r="C694" s="399">
        <v>50</v>
      </c>
      <c r="D694" s="402" t="s">
        <v>1038</v>
      </c>
    </row>
    <row r="695" spans="1:4">
      <c r="A695" s="401" t="s">
        <v>1043</v>
      </c>
      <c r="B695" s="400">
        <v>50245</v>
      </c>
      <c r="C695" s="399">
        <v>50</v>
      </c>
      <c r="D695" s="402" t="s">
        <v>1038</v>
      </c>
    </row>
    <row r="696" spans="1:4">
      <c r="A696" s="401" t="s">
        <v>1044</v>
      </c>
      <c r="B696" s="400">
        <v>50251</v>
      </c>
      <c r="C696" s="399">
        <v>50</v>
      </c>
      <c r="D696" s="402" t="s">
        <v>1038</v>
      </c>
    </row>
    <row r="697" spans="1:4">
      <c r="A697" s="401" t="s">
        <v>1045</v>
      </c>
      <c r="B697" s="400">
        <v>50270</v>
      </c>
      <c r="C697" s="399">
        <v>50</v>
      </c>
      <c r="D697" s="402" t="s">
        <v>1038</v>
      </c>
    </row>
    <row r="698" spans="1:4">
      <c r="A698" s="401" t="s">
        <v>1046</v>
      </c>
      <c r="B698" s="400">
        <v>50287</v>
      </c>
      <c r="C698" s="399">
        <v>50</v>
      </c>
      <c r="D698" s="402" t="s">
        <v>1038</v>
      </c>
    </row>
    <row r="699" spans="1:4">
      <c r="A699" s="401" t="s">
        <v>474</v>
      </c>
      <c r="B699" s="400">
        <v>50313</v>
      </c>
      <c r="C699" s="399">
        <v>50</v>
      </c>
      <c r="D699" s="402" t="s">
        <v>1038</v>
      </c>
    </row>
    <row r="700" spans="1:4">
      <c r="A700" s="401" t="s">
        <v>454</v>
      </c>
      <c r="B700" s="400">
        <v>50318</v>
      </c>
      <c r="C700" s="399">
        <v>50</v>
      </c>
      <c r="D700" s="402" t="s">
        <v>1038</v>
      </c>
    </row>
    <row r="701" spans="1:4">
      <c r="A701" s="401" t="s">
        <v>1047</v>
      </c>
      <c r="B701" s="400">
        <v>50325</v>
      </c>
      <c r="C701" s="399">
        <v>50</v>
      </c>
      <c r="D701" s="402" t="s">
        <v>1038</v>
      </c>
    </row>
    <row r="702" spans="1:4">
      <c r="A702" s="401" t="s">
        <v>476</v>
      </c>
      <c r="B702" s="400">
        <v>50330</v>
      </c>
      <c r="C702" s="399">
        <v>50</v>
      </c>
      <c r="D702" s="402" t="s">
        <v>1038</v>
      </c>
    </row>
    <row r="703" spans="1:4">
      <c r="A703" s="401" t="s">
        <v>475</v>
      </c>
      <c r="B703" s="400">
        <v>50350</v>
      </c>
      <c r="C703" s="399">
        <v>50</v>
      </c>
      <c r="D703" s="402" t="s">
        <v>1038</v>
      </c>
    </row>
    <row r="704" spans="1:4">
      <c r="A704" s="401" t="s">
        <v>482</v>
      </c>
      <c r="B704" s="400">
        <v>50370</v>
      </c>
      <c r="C704" s="399">
        <v>50</v>
      </c>
      <c r="D704" s="402" t="s">
        <v>1038</v>
      </c>
    </row>
    <row r="705" spans="1:4">
      <c r="A705" s="401" t="s">
        <v>1048</v>
      </c>
      <c r="B705" s="400">
        <v>50400</v>
      </c>
      <c r="C705" s="399">
        <v>50</v>
      </c>
      <c r="D705" s="402" t="s">
        <v>1038</v>
      </c>
    </row>
    <row r="706" spans="1:4">
      <c r="A706" s="401" t="s">
        <v>1049</v>
      </c>
      <c r="B706" s="400">
        <v>50450</v>
      </c>
      <c r="C706" s="399">
        <v>50</v>
      </c>
      <c r="D706" s="402" t="s">
        <v>1038</v>
      </c>
    </row>
    <row r="707" spans="1:4">
      <c r="A707" s="401" t="s">
        <v>477</v>
      </c>
      <c r="B707" s="400">
        <v>50568</v>
      </c>
      <c r="C707" s="399">
        <v>50</v>
      </c>
      <c r="D707" s="402" t="s">
        <v>1038</v>
      </c>
    </row>
    <row r="708" spans="1:4">
      <c r="A708" s="401" t="s">
        <v>479</v>
      </c>
      <c r="B708" s="400">
        <v>50573</v>
      </c>
      <c r="C708" s="399">
        <v>50</v>
      </c>
      <c r="D708" s="402" t="s">
        <v>1038</v>
      </c>
    </row>
    <row r="709" spans="1:4">
      <c r="A709" s="401" t="s">
        <v>478</v>
      </c>
      <c r="B709" s="400">
        <v>50577</v>
      </c>
      <c r="C709" s="399">
        <v>50</v>
      </c>
      <c r="D709" s="402" t="s">
        <v>1038</v>
      </c>
    </row>
    <row r="710" spans="1:4">
      <c r="A710" s="401" t="s">
        <v>480</v>
      </c>
      <c r="B710" s="400">
        <v>50590</v>
      </c>
      <c r="C710" s="399">
        <v>50</v>
      </c>
      <c r="D710" s="402" t="s">
        <v>1038</v>
      </c>
    </row>
    <row r="711" spans="1:4">
      <c r="A711" s="401" t="s">
        <v>1050</v>
      </c>
      <c r="B711" s="400">
        <v>50606</v>
      </c>
      <c r="C711" s="399">
        <v>50</v>
      </c>
      <c r="D711" s="402" t="s">
        <v>1038</v>
      </c>
    </row>
    <row r="712" spans="1:4">
      <c r="A712" s="401" t="s">
        <v>1051</v>
      </c>
      <c r="B712" s="400">
        <v>50680</v>
      </c>
      <c r="C712" s="399">
        <v>50</v>
      </c>
      <c r="D712" s="402" t="s">
        <v>1038</v>
      </c>
    </row>
    <row r="713" spans="1:4">
      <c r="A713" s="401" t="s">
        <v>1052</v>
      </c>
      <c r="B713" s="400">
        <v>50683</v>
      </c>
      <c r="C713" s="399">
        <v>50</v>
      </c>
      <c r="D713" s="402" t="s">
        <v>1038</v>
      </c>
    </row>
    <row r="714" spans="1:4">
      <c r="A714" s="401" t="s">
        <v>1053</v>
      </c>
      <c r="B714" s="400">
        <v>50686</v>
      </c>
      <c r="C714" s="399">
        <v>50</v>
      </c>
      <c r="D714" s="402" t="s">
        <v>1038</v>
      </c>
    </row>
    <row r="715" spans="1:4">
      <c r="A715" s="401" t="s">
        <v>481</v>
      </c>
      <c r="B715" s="400">
        <v>50689</v>
      </c>
      <c r="C715" s="399">
        <v>50</v>
      </c>
      <c r="D715" s="402" t="s">
        <v>1038</v>
      </c>
    </row>
    <row r="716" spans="1:4">
      <c r="A716" s="401" t="s">
        <v>483</v>
      </c>
      <c r="B716" s="400">
        <v>50711</v>
      </c>
      <c r="C716" s="399">
        <v>50</v>
      </c>
      <c r="D716" s="402" t="s">
        <v>1038</v>
      </c>
    </row>
    <row r="717" spans="1:4">
      <c r="A717" s="401" t="s">
        <v>485</v>
      </c>
      <c r="B717" s="400">
        <v>52001</v>
      </c>
      <c r="C717" s="399">
        <v>52</v>
      </c>
      <c r="D717" s="402" t="s">
        <v>123</v>
      </c>
    </row>
    <row r="718" spans="1:4">
      <c r="A718" s="401" t="s">
        <v>486</v>
      </c>
      <c r="B718" s="400">
        <v>52019</v>
      </c>
      <c r="C718" s="399">
        <v>52</v>
      </c>
      <c r="D718" s="402" t="s">
        <v>123</v>
      </c>
    </row>
    <row r="719" spans="1:4">
      <c r="A719" s="401" t="s">
        <v>487</v>
      </c>
      <c r="B719" s="400">
        <v>52022</v>
      </c>
      <c r="C719" s="399">
        <v>52</v>
      </c>
      <c r="D719" s="402" t="s">
        <v>123</v>
      </c>
    </row>
    <row r="720" spans="1:4">
      <c r="A720" s="401" t="s">
        <v>488</v>
      </c>
      <c r="B720" s="400">
        <v>52036</v>
      </c>
      <c r="C720" s="399">
        <v>52</v>
      </c>
      <c r="D720" s="402" t="s">
        <v>123</v>
      </c>
    </row>
    <row r="721" spans="1:4">
      <c r="A721" s="401" t="s">
        <v>489</v>
      </c>
      <c r="B721" s="400">
        <v>52051</v>
      </c>
      <c r="C721" s="399">
        <v>52</v>
      </c>
      <c r="D721" s="402" t="s">
        <v>123</v>
      </c>
    </row>
    <row r="722" spans="1:4">
      <c r="A722" s="401" t="s">
        <v>490</v>
      </c>
      <c r="B722" s="400">
        <v>52079</v>
      </c>
      <c r="C722" s="399">
        <v>52</v>
      </c>
      <c r="D722" s="402" t="s">
        <v>123</v>
      </c>
    </row>
    <row r="723" spans="1:4">
      <c r="A723" s="401" t="s">
        <v>491</v>
      </c>
      <c r="B723" s="400">
        <v>52083</v>
      </c>
      <c r="C723" s="399">
        <v>52</v>
      </c>
      <c r="D723" s="402" t="s">
        <v>123</v>
      </c>
    </row>
    <row r="724" spans="1:4">
      <c r="A724" s="401" t="s">
        <v>492</v>
      </c>
      <c r="B724" s="400">
        <v>52110</v>
      </c>
      <c r="C724" s="399">
        <v>52</v>
      </c>
      <c r="D724" s="402" t="s">
        <v>123</v>
      </c>
    </row>
    <row r="725" spans="1:4">
      <c r="A725" s="401" t="s">
        <v>494</v>
      </c>
      <c r="B725" s="400">
        <v>52203</v>
      </c>
      <c r="C725" s="399">
        <v>52</v>
      </c>
      <c r="D725" s="402" t="s">
        <v>123</v>
      </c>
    </row>
    <row r="726" spans="1:4">
      <c r="A726" s="401" t="s">
        <v>495</v>
      </c>
      <c r="B726" s="400">
        <v>52207</v>
      </c>
      <c r="C726" s="399">
        <v>52</v>
      </c>
      <c r="D726" s="402" t="s">
        <v>123</v>
      </c>
    </row>
    <row r="727" spans="1:4">
      <c r="A727" s="401" t="s">
        <v>496</v>
      </c>
      <c r="B727" s="400">
        <v>52210</v>
      </c>
      <c r="C727" s="399">
        <v>52</v>
      </c>
      <c r="D727" s="402" t="s">
        <v>123</v>
      </c>
    </row>
    <row r="728" spans="1:4">
      <c r="A728" s="401" t="s">
        <v>497</v>
      </c>
      <c r="B728" s="400">
        <v>52215</v>
      </c>
      <c r="C728" s="399">
        <v>52</v>
      </c>
      <c r="D728" s="402" t="s">
        <v>123</v>
      </c>
    </row>
    <row r="729" spans="1:4">
      <c r="A729" s="401" t="s">
        <v>498</v>
      </c>
      <c r="B729" s="400">
        <v>52224</v>
      </c>
      <c r="C729" s="399">
        <v>52</v>
      </c>
      <c r="D729" s="402" t="s">
        <v>123</v>
      </c>
    </row>
    <row r="730" spans="1:4">
      <c r="A730" s="401" t="s">
        <v>499</v>
      </c>
      <c r="B730" s="400">
        <v>52227</v>
      </c>
      <c r="C730" s="399">
        <v>52</v>
      </c>
      <c r="D730" s="402" t="s">
        <v>123</v>
      </c>
    </row>
    <row r="731" spans="1:4">
      <c r="A731" s="401" t="s">
        <v>500</v>
      </c>
      <c r="B731" s="400">
        <v>52233</v>
      </c>
      <c r="C731" s="399">
        <v>52</v>
      </c>
      <c r="D731" s="402" t="s">
        <v>123</v>
      </c>
    </row>
    <row r="732" spans="1:4">
      <c r="A732" s="401" t="s">
        <v>493</v>
      </c>
      <c r="B732" s="400">
        <v>52240</v>
      </c>
      <c r="C732" s="399">
        <v>52</v>
      </c>
      <c r="D732" s="402" t="s">
        <v>123</v>
      </c>
    </row>
    <row r="733" spans="1:4">
      <c r="A733" s="401" t="s">
        <v>501</v>
      </c>
      <c r="B733" s="400">
        <v>52250</v>
      </c>
      <c r="C733" s="399">
        <v>52</v>
      </c>
      <c r="D733" s="402" t="s">
        <v>123</v>
      </c>
    </row>
    <row r="734" spans="1:4">
      <c r="A734" s="401" t="s">
        <v>1054</v>
      </c>
      <c r="B734" s="400">
        <v>52254</v>
      </c>
      <c r="C734" s="399">
        <v>52</v>
      </c>
      <c r="D734" s="402" t="s">
        <v>123</v>
      </c>
    </row>
    <row r="735" spans="1:4">
      <c r="A735" s="401" t="s">
        <v>1055</v>
      </c>
      <c r="B735" s="400">
        <v>52256</v>
      </c>
      <c r="C735" s="399">
        <v>52</v>
      </c>
      <c r="D735" s="402" t="s">
        <v>123</v>
      </c>
    </row>
    <row r="736" spans="1:4">
      <c r="A736" s="401" t="s">
        <v>502</v>
      </c>
      <c r="B736" s="400">
        <v>52258</v>
      </c>
      <c r="C736" s="399">
        <v>52</v>
      </c>
      <c r="D736" s="402" t="s">
        <v>123</v>
      </c>
    </row>
    <row r="737" spans="1:4">
      <c r="A737" s="401" t="s">
        <v>503</v>
      </c>
      <c r="B737" s="400">
        <v>52260</v>
      </c>
      <c r="C737" s="399">
        <v>52</v>
      </c>
      <c r="D737" s="402" t="s">
        <v>123</v>
      </c>
    </row>
    <row r="738" spans="1:4">
      <c r="A738" s="401" t="s">
        <v>504</v>
      </c>
      <c r="B738" s="400">
        <v>52287</v>
      </c>
      <c r="C738" s="399">
        <v>52</v>
      </c>
      <c r="D738" s="402" t="s">
        <v>123</v>
      </c>
    </row>
    <row r="739" spans="1:4">
      <c r="A739" s="401" t="s">
        <v>505</v>
      </c>
      <c r="B739" s="400">
        <v>52317</v>
      </c>
      <c r="C739" s="399">
        <v>52</v>
      </c>
      <c r="D739" s="402" t="s">
        <v>123</v>
      </c>
    </row>
    <row r="740" spans="1:4">
      <c r="A740" s="401" t="s">
        <v>506</v>
      </c>
      <c r="B740" s="400">
        <v>52320</v>
      </c>
      <c r="C740" s="399">
        <v>52</v>
      </c>
      <c r="D740" s="402" t="s">
        <v>123</v>
      </c>
    </row>
    <row r="741" spans="1:4">
      <c r="A741" s="401" t="s">
        <v>507</v>
      </c>
      <c r="B741" s="400">
        <v>52323</v>
      </c>
      <c r="C741" s="399">
        <v>52</v>
      </c>
      <c r="D741" s="402" t="s">
        <v>123</v>
      </c>
    </row>
    <row r="742" spans="1:4">
      <c r="A742" s="401" t="s">
        <v>508</v>
      </c>
      <c r="B742" s="400">
        <v>52352</v>
      </c>
      <c r="C742" s="399">
        <v>52</v>
      </c>
      <c r="D742" s="402" t="s">
        <v>123</v>
      </c>
    </row>
    <row r="743" spans="1:4">
      <c r="A743" s="401" t="s">
        <v>509</v>
      </c>
      <c r="B743" s="400">
        <v>52354</v>
      </c>
      <c r="C743" s="399">
        <v>52</v>
      </c>
      <c r="D743" s="402" t="s">
        <v>123</v>
      </c>
    </row>
    <row r="744" spans="1:4">
      <c r="A744" s="401" t="s">
        <v>510</v>
      </c>
      <c r="B744" s="400">
        <v>52356</v>
      </c>
      <c r="C744" s="399">
        <v>52</v>
      </c>
      <c r="D744" s="402" t="s">
        <v>123</v>
      </c>
    </row>
    <row r="745" spans="1:4">
      <c r="A745" s="401" t="s">
        <v>1056</v>
      </c>
      <c r="B745" s="400">
        <v>52378</v>
      </c>
      <c r="C745" s="399">
        <v>52</v>
      </c>
      <c r="D745" s="402" t="s">
        <v>123</v>
      </c>
    </row>
    <row r="746" spans="1:4">
      <c r="A746" s="401" t="s">
        <v>1057</v>
      </c>
      <c r="B746" s="400">
        <v>52381</v>
      </c>
      <c r="C746" s="399">
        <v>52</v>
      </c>
      <c r="D746" s="402" t="s">
        <v>123</v>
      </c>
    </row>
    <row r="747" spans="1:4">
      <c r="A747" s="401" t="s">
        <v>1058</v>
      </c>
      <c r="B747" s="400">
        <v>52385</v>
      </c>
      <c r="C747" s="399">
        <v>52</v>
      </c>
      <c r="D747" s="402" t="s">
        <v>123</v>
      </c>
    </row>
    <row r="748" spans="1:4">
      <c r="A748" s="401" t="s">
        <v>1059</v>
      </c>
      <c r="B748" s="400">
        <v>52390</v>
      </c>
      <c r="C748" s="399">
        <v>52</v>
      </c>
      <c r="D748" s="402" t="s">
        <v>123</v>
      </c>
    </row>
    <row r="749" spans="1:4">
      <c r="A749" s="401" t="s">
        <v>511</v>
      </c>
      <c r="B749" s="400">
        <v>52399</v>
      </c>
      <c r="C749" s="399">
        <v>52</v>
      </c>
      <c r="D749" s="402" t="s">
        <v>123</v>
      </c>
    </row>
    <row r="750" spans="1:4">
      <c r="A750" s="401" t="s">
        <v>512</v>
      </c>
      <c r="B750" s="400">
        <v>52405</v>
      </c>
      <c r="C750" s="399">
        <v>52</v>
      </c>
      <c r="D750" s="402" t="s">
        <v>123</v>
      </c>
    </row>
    <row r="751" spans="1:4">
      <c r="A751" s="401" t="s">
        <v>513</v>
      </c>
      <c r="B751" s="400">
        <v>52411</v>
      </c>
      <c r="C751" s="399">
        <v>52</v>
      </c>
      <c r="D751" s="402" t="s">
        <v>123</v>
      </c>
    </row>
    <row r="752" spans="1:4">
      <c r="A752" s="401" t="s">
        <v>514</v>
      </c>
      <c r="B752" s="400">
        <v>52418</v>
      </c>
      <c r="C752" s="399">
        <v>52</v>
      </c>
      <c r="D752" s="402" t="s">
        <v>123</v>
      </c>
    </row>
    <row r="753" spans="1:4">
      <c r="A753" s="401" t="s">
        <v>515</v>
      </c>
      <c r="B753" s="400">
        <v>52427</v>
      </c>
      <c r="C753" s="399">
        <v>52</v>
      </c>
      <c r="D753" s="402" t="s">
        <v>123</v>
      </c>
    </row>
    <row r="754" spans="1:4">
      <c r="A754" s="401" t="s">
        <v>516</v>
      </c>
      <c r="B754" s="400">
        <v>52435</v>
      </c>
      <c r="C754" s="399">
        <v>52</v>
      </c>
      <c r="D754" s="402" t="s">
        <v>123</v>
      </c>
    </row>
    <row r="755" spans="1:4">
      <c r="A755" s="401" t="s">
        <v>517</v>
      </c>
      <c r="B755" s="400">
        <v>52473</v>
      </c>
      <c r="C755" s="399">
        <v>52</v>
      </c>
      <c r="D755" s="402" t="s">
        <v>123</v>
      </c>
    </row>
    <row r="756" spans="1:4">
      <c r="A756" s="401" t="s">
        <v>518</v>
      </c>
      <c r="B756" s="400">
        <v>52480</v>
      </c>
      <c r="C756" s="399">
        <v>52</v>
      </c>
      <c r="D756" s="402" t="s">
        <v>123</v>
      </c>
    </row>
    <row r="757" spans="1:4">
      <c r="A757" s="401" t="s">
        <v>519</v>
      </c>
      <c r="B757" s="400">
        <v>52490</v>
      </c>
      <c r="C757" s="399">
        <v>52</v>
      </c>
      <c r="D757" s="402" t="s">
        <v>123</v>
      </c>
    </row>
    <row r="758" spans="1:4">
      <c r="A758" s="401" t="s">
        <v>520</v>
      </c>
      <c r="B758" s="400">
        <v>52506</v>
      </c>
      <c r="C758" s="399">
        <v>52</v>
      </c>
      <c r="D758" s="402" t="s">
        <v>123</v>
      </c>
    </row>
    <row r="759" spans="1:4">
      <c r="A759" s="401" t="s">
        <v>1060</v>
      </c>
      <c r="B759" s="400">
        <v>52520</v>
      </c>
      <c r="C759" s="399">
        <v>52</v>
      </c>
      <c r="D759" s="402" t="s">
        <v>123</v>
      </c>
    </row>
    <row r="760" spans="1:4">
      <c r="A760" s="401" t="s">
        <v>521</v>
      </c>
      <c r="B760" s="400">
        <v>52540</v>
      </c>
      <c r="C760" s="399">
        <v>52</v>
      </c>
      <c r="D760" s="402" t="s">
        <v>123</v>
      </c>
    </row>
    <row r="761" spans="1:4">
      <c r="A761" s="401" t="s">
        <v>522</v>
      </c>
      <c r="B761" s="400">
        <v>52560</v>
      </c>
      <c r="C761" s="399">
        <v>52</v>
      </c>
      <c r="D761" s="402" t="s">
        <v>123</v>
      </c>
    </row>
    <row r="762" spans="1:4">
      <c r="A762" s="401" t="s">
        <v>523</v>
      </c>
      <c r="B762" s="400">
        <v>52565</v>
      </c>
      <c r="C762" s="399">
        <v>52</v>
      </c>
      <c r="D762" s="402" t="s">
        <v>123</v>
      </c>
    </row>
    <row r="763" spans="1:4">
      <c r="A763" s="401" t="s">
        <v>524</v>
      </c>
      <c r="B763" s="400">
        <v>52573</v>
      </c>
      <c r="C763" s="399">
        <v>52</v>
      </c>
      <c r="D763" s="402" t="s">
        <v>123</v>
      </c>
    </row>
    <row r="764" spans="1:4">
      <c r="A764" s="401" t="s">
        <v>525</v>
      </c>
      <c r="B764" s="400">
        <v>52585</v>
      </c>
      <c r="C764" s="399">
        <v>52</v>
      </c>
      <c r="D764" s="402" t="s">
        <v>123</v>
      </c>
    </row>
    <row r="765" spans="1:4">
      <c r="A765" s="401" t="s">
        <v>526</v>
      </c>
      <c r="B765" s="400">
        <v>52612</v>
      </c>
      <c r="C765" s="399">
        <v>52</v>
      </c>
      <c r="D765" s="402" t="s">
        <v>123</v>
      </c>
    </row>
    <row r="766" spans="1:4">
      <c r="A766" s="401" t="s">
        <v>527</v>
      </c>
      <c r="B766" s="400">
        <v>52621</v>
      </c>
      <c r="C766" s="399">
        <v>52</v>
      </c>
      <c r="D766" s="402" t="s">
        <v>123</v>
      </c>
    </row>
    <row r="767" spans="1:4">
      <c r="A767" s="401" t="s">
        <v>528</v>
      </c>
      <c r="B767" s="400">
        <v>52678</v>
      </c>
      <c r="C767" s="399">
        <v>52</v>
      </c>
      <c r="D767" s="402" t="s">
        <v>123</v>
      </c>
    </row>
    <row r="768" spans="1:4">
      <c r="A768" s="401" t="s">
        <v>532</v>
      </c>
      <c r="B768" s="400">
        <v>52683</v>
      </c>
      <c r="C768" s="399">
        <v>52</v>
      </c>
      <c r="D768" s="402" t="s">
        <v>123</v>
      </c>
    </row>
    <row r="769" spans="1:4">
      <c r="A769" s="401" t="s">
        <v>530</v>
      </c>
      <c r="B769" s="400">
        <v>52685</v>
      </c>
      <c r="C769" s="399">
        <v>52</v>
      </c>
      <c r="D769" s="402" t="s">
        <v>123</v>
      </c>
    </row>
    <row r="770" spans="1:4">
      <c r="A770" s="401" t="s">
        <v>1061</v>
      </c>
      <c r="B770" s="400">
        <v>52687</v>
      </c>
      <c r="C770" s="399">
        <v>52</v>
      </c>
      <c r="D770" s="402" t="s">
        <v>123</v>
      </c>
    </row>
    <row r="771" spans="1:4">
      <c r="A771" s="401" t="s">
        <v>531</v>
      </c>
      <c r="B771" s="400">
        <v>52693</v>
      </c>
      <c r="C771" s="399">
        <v>52</v>
      </c>
      <c r="D771" s="402" t="s">
        <v>123</v>
      </c>
    </row>
    <row r="772" spans="1:4">
      <c r="A772" s="401" t="s">
        <v>1062</v>
      </c>
      <c r="B772" s="400">
        <v>52694</v>
      </c>
      <c r="C772" s="399">
        <v>52</v>
      </c>
      <c r="D772" s="402" t="s">
        <v>123</v>
      </c>
    </row>
    <row r="773" spans="1:4">
      <c r="A773" s="401" t="s">
        <v>533</v>
      </c>
      <c r="B773" s="400">
        <v>52696</v>
      </c>
      <c r="C773" s="399">
        <v>52</v>
      </c>
      <c r="D773" s="402" t="s">
        <v>123</v>
      </c>
    </row>
    <row r="774" spans="1:4">
      <c r="A774" s="401" t="s">
        <v>534</v>
      </c>
      <c r="B774" s="400">
        <v>52699</v>
      </c>
      <c r="C774" s="399">
        <v>52</v>
      </c>
      <c r="D774" s="402" t="s">
        <v>123</v>
      </c>
    </row>
    <row r="775" spans="1:4">
      <c r="A775" s="401" t="s">
        <v>535</v>
      </c>
      <c r="B775" s="400">
        <v>52720</v>
      </c>
      <c r="C775" s="399">
        <v>52</v>
      </c>
      <c r="D775" s="402" t="s">
        <v>123</v>
      </c>
    </row>
    <row r="776" spans="1:4">
      <c r="A776" s="401" t="s">
        <v>536</v>
      </c>
      <c r="B776" s="400">
        <v>52786</v>
      </c>
      <c r="C776" s="399">
        <v>52</v>
      </c>
      <c r="D776" s="402" t="s">
        <v>123</v>
      </c>
    </row>
    <row r="777" spans="1:4">
      <c r="A777" s="401" t="s">
        <v>537</v>
      </c>
      <c r="B777" s="400">
        <v>52788</v>
      </c>
      <c r="C777" s="399">
        <v>52</v>
      </c>
      <c r="D777" s="402" t="s">
        <v>123</v>
      </c>
    </row>
    <row r="778" spans="1:4">
      <c r="A778" s="401" t="s">
        <v>529</v>
      </c>
      <c r="B778" s="400">
        <v>52835</v>
      </c>
      <c r="C778" s="399">
        <v>52</v>
      </c>
      <c r="D778" s="402" t="s">
        <v>123</v>
      </c>
    </row>
    <row r="779" spans="1:4">
      <c r="A779" s="401" t="s">
        <v>538</v>
      </c>
      <c r="B779" s="400">
        <v>52838</v>
      </c>
      <c r="C779" s="399">
        <v>52</v>
      </c>
      <c r="D779" s="402" t="s">
        <v>123</v>
      </c>
    </row>
    <row r="780" spans="1:4">
      <c r="A780" s="401" t="s">
        <v>539</v>
      </c>
      <c r="B780" s="400">
        <v>52885</v>
      </c>
      <c r="C780" s="399">
        <v>52</v>
      </c>
      <c r="D780" s="402" t="s">
        <v>123</v>
      </c>
    </row>
    <row r="781" spans="1:4">
      <c r="A781" s="401" t="s">
        <v>541</v>
      </c>
      <c r="B781" s="400">
        <v>54001</v>
      </c>
      <c r="C781" s="399">
        <v>54</v>
      </c>
      <c r="D781" s="402" t="s">
        <v>1063</v>
      </c>
    </row>
    <row r="782" spans="1:4">
      <c r="A782" s="401" t="s">
        <v>542</v>
      </c>
      <c r="B782" s="400">
        <v>54003</v>
      </c>
      <c r="C782" s="399">
        <v>54</v>
      </c>
      <c r="D782" s="402" t="s">
        <v>1063</v>
      </c>
    </row>
    <row r="783" spans="1:4">
      <c r="A783" s="401" t="s">
        <v>1064</v>
      </c>
      <c r="B783" s="400">
        <v>54051</v>
      </c>
      <c r="C783" s="399">
        <v>54</v>
      </c>
      <c r="D783" s="402" t="s">
        <v>1063</v>
      </c>
    </row>
    <row r="784" spans="1:4">
      <c r="A784" s="401" t="s">
        <v>1065</v>
      </c>
      <c r="B784" s="400">
        <v>54099</v>
      </c>
      <c r="C784" s="399">
        <v>54</v>
      </c>
      <c r="D784" s="402" t="s">
        <v>1063</v>
      </c>
    </row>
    <row r="785" spans="1:4">
      <c r="A785" s="401" t="s">
        <v>1066</v>
      </c>
      <c r="B785" s="400">
        <v>54109</v>
      </c>
      <c r="C785" s="399">
        <v>54</v>
      </c>
      <c r="D785" s="402" t="s">
        <v>1063</v>
      </c>
    </row>
    <row r="786" spans="1:4">
      <c r="A786" s="401" t="s">
        <v>1067</v>
      </c>
      <c r="B786" s="400">
        <v>54125</v>
      </c>
      <c r="C786" s="399">
        <v>54</v>
      </c>
      <c r="D786" s="402" t="s">
        <v>1063</v>
      </c>
    </row>
    <row r="787" spans="1:4">
      <c r="A787" s="401" t="s">
        <v>543</v>
      </c>
      <c r="B787" s="400">
        <v>54128</v>
      </c>
      <c r="C787" s="399">
        <v>54</v>
      </c>
      <c r="D787" s="402" t="s">
        <v>1063</v>
      </c>
    </row>
    <row r="788" spans="1:4">
      <c r="A788" s="401" t="s">
        <v>1068</v>
      </c>
      <c r="B788" s="400">
        <v>54172</v>
      </c>
      <c r="C788" s="399">
        <v>54</v>
      </c>
      <c r="D788" s="402" t="s">
        <v>1063</v>
      </c>
    </row>
    <row r="789" spans="1:4">
      <c r="A789" s="401" t="s">
        <v>1069</v>
      </c>
      <c r="B789" s="400">
        <v>54174</v>
      </c>
      <c r="C789" s="399">
        <v>54</v>
      </c>
      <c r="D789" s="402" t="s">
        <v>1063</v>
      </c>
    </row>
    <row r="790" spans="1:4">
      <c r="A790" s="401" t="s">
        <v>544</v>
      </c>
      <c r="B790" s="400">
        <v>54206</v>
      </c>
      <c r="C790" s="399">
        <v>54</v>
      </c>
      <c r="D790" s="402" t="s">
        <v>1063</v>
      </c>
    </row>
    <row r="791" spans="1:4">
      <c r="A791" s="401" t="s">
        <v>1070</v>
      </c>
      <c r="B791" s="400">
        <v>54223</v>
      </c>
      <c r="C791" s="399">
        <v>54</v>
      </c>
      <c r="D791" s="402" t="s">
        <v>1063</v>
      </c>
    </row>
    <row r="792" spans="1:4">
      <c r="A792" s="401" t="s">
        <v>1071</v>
      </c>
      <c r="B792" s="400">
        <v>54239</v>
      </c>
      <c r="C792" s="399">
        <v>54</v>
      </c>
      <c r="D792" s="402" t="s">
        <v>1063</v>
      </c>
    </row>
    <row r="793" spans="1:4">
      <c r="A793" s="401" t="s">
        <v>545</v>
      </c>
      <c r="B793" s="400">
        <v>54245</v>
      </c>
      <c r="C793" s="399">
        <v>54</v>
      </c>
      <c r="D793" s="402" t="s">
        <v>1063</v>
      </c>
    </row>
    <row r="794" spans="1:4">
      <c r="A794" s="401" t="s">
        <v>546</v>
      </c>
      <c r="B794" s="400">
        <v>54250</v>
      </c>
      <c r="C794" s="399">
        <v>54</v>
      </c>
      <c r="D794" s="402" t="s">
        <v>1063</v>
      </c>
    </row>
    <row r="795" spans="1:4">
      <c r="A795" s="401" t="s">
        <v>547</v>
      </c>
      <c r="B795" s="400">
        <v>54261</v>
      </c>
      <c r="C795" s="399">
        <v>54</v>
      </c>
      <c r="D795" s="402" t="s">
        <v>1063</v>
      </c>
    </row>
    <row r="796" spans="1:4">
      <c r="A796" s="401" t="s">
        <v>1072</v>
      </c>
      <c r="B796" s="400">
        <v>54313</v>
      </c>
      <c r="C796" s="399">
        <v>54</v>
      </c>
      <c r="D796" s="402" t="s">
        <v>1063</v>
      </c>
    </row>
    <row r="797" spans="1:4">
      <c r="A797" s="401" t="s">
        <v>548</v>
      </c>
      <c r="B797" s="400">
        <v>54344</v>
      </c>
      <c r="C797" s="399">
        <v>54</v>
      </c>
      <c r="D797" s="402" t="s">
        <v>1063</v>
      </c>
    </row>
    <row r="798" spans="1:4">
      <c r="A798" s="401" t="s">
        <v>1073</v>
      </c>
      <c r="B798" s="400">
        <v>54347</v>
      </c>
      <c r="C798" s="399">
        <v>54</v>
      </c>
      <c r="D798" s="402" t="s">
        <v>1063</v>
      </c>
    </row>
    <row r="799" spans="1:4">
      <c r="A799" s="401" t="s">
        <v>1074</v>
      </c>
      <c r="B799" s="400">
        <v>54377</v>
      </c>
      <c r="C799" s="399">
        <v>54</v>
      </c>
      <c r="D799" s="402" t="s">
        <v>1063</v>
      </c>
    </row>
    <row r="800" spans="1:4">
      <c r="A800" s="401" t="s">
        <v>1075</v>
      </c>
      <c r="B800" s="400">
        <v>54385</v>
      </c>
      <c r="C800" s="399">
        <v>54</v>
      </c>
      <c r="D800" s="402" t="s">
        <v>1063</v>
      </c>
    </row>
    <row r="801" spans="1:4">
      <c r="A801" s="401" t="s">
        <v>1076</v>
      </c>
      <c r="B801" s="400">
        <v>54398</v>
      </c>
      <c r="C801" s="399">
        <v>54</v>
      </c>
      <c r="D801" s="402" t="s">
        <v>1063</v>
      </c>
    </row>
    <row r="802" spans="1:4">
      <c r="A802" s="401" t="s">
        <v>549</v>
      </c>
      <c r="B802" s="400">
        <v>54405</v>
      </c>
      <c r="C802" s="399">
        <v>54</v>
      </c>
      <c r="D802" s="402" t="s">
        <v>1063</v>
      </c>
    </row>
    <row r="803" spans="1:4">
      <c r="A803" s="401" t="s">
        <v>550</v>
      </c>
      <c r="B803" s="400">
        <v>54418</v>
      </c>
      <c r="C803" s="399">
        <v>54</v>
      </c>
      <c r="D803" s="402" t="s">
        <v>1063</v>
      </c>
    </row>
    <row r="804" spans="1:4">
      <c r="A804" s="401" t="s">
        <v>1077</v>
      </c>
      <c r="B804" s="400">
        <v>54480</v>
      </c>
      <c r="C804" s="399">
        <v>54</v>
      </c>
      <c r="D804" s="402" t="s">
        <v>1063</v>
      </c>
    </row>
    <row r="805" spans="1:4">
      <c r="A805" s="401" t="s">
        <v>551</v>
      </c>
      <c r="B805" s="400">
        <v>54498</v>
      </c>
      <c r="C805" s="399">
        <v>54</v>
      </c>
      <c r="D805" s="402" t="s">
        <v>1063</v>
      </c>
    </row>
    <row r="806" spans="1:4">
      <c r="A806" s="401" t="s">
        <v>552</v>
      </c>
      <c r="B806" s="400">
        <v>54518</v>
      </c>
      <c r="C806" s="399">
        <v>54</v>
      </c>
      <c r="D806" s="402" t="s">
        <v>1063</v>
      </c>
    </row>
    <row r="807" spans="1:4">
      <c r="A807" s="401" t="s">
        <v>1078</v>
      </c>
      <c r="B807" s="400">
        <v>54520</v>
      </c>
      <c r="C807" s="399">
        <v>54</v>
      </c>
      <c r="D807" s="402" t="s">
        <v>1063</v>
      </c>
    </row>
    <row r="808" spans="1:4">
      <c r="A808" s="401" t="s">
        <v>553</v>
      </c>
      <c r="B808" s="400">
        <v>54553</v>
      </c>
      <c r="C808" s="399">
        <v>54</v>
      </c>
      <c r="D808" s="402" t="s">
        <v>1063</v>
      </c>
    </row>
    <row r="809" spans="1:4">
      <c r="A809" s="401" t="s">
        <v>1079</v>
      </c>
      <c r="B809" s="400">
        <v>54599</v>
      </c>
      <c r="C809" s="399">
        <v>54</v>
      </c>
      <c r="D809" s="402" t="s">
        <v>1063</v>
      </c>
    </row>
    <row r="810" spans="1:4">
      <c r="A810" s="401" t="s">
        <v>1080</v>
      </c>
      <c r="B810" s="400">
        <v>54660</v>
      </c>
      <c r="C810" s="399">
        <v>54</v>
      </c>
      <c r="D810" s="402" t="s">
        <v>1063</v>
      </c>
    </row>
    <row r="811" spans="1:4">
      <c r="A811" s="401" t="s">
        <v>554</v>
      </c>
      <c r="B811" s="400">
        <v>54670</v>
      </c>
      <c r="C811" s="399">
        <v>54</v>
      </c>
      <c r="D811" s="402" t="s">
        <v>1063</v>
      </c>
    </row>
    <row r="812" spans="1:4">
      <c r="A812" s="401" t="s">
        <v>976</v>
      </c>
      <c r="B812" s="400">
        <v>54673</v>
      </c>
      <c r="C812" s="399">
        <v>54</v>
      </c>
      <c r="D812" s="402" t="s">
        <v>1063</v>
      </c>
    </row>
    <row r="813" spans="1:4">
      <c r="A813" s="401" t="s">
        <v>1081</v>
      </c>
      <c r="B813" s="400">
        <v>54680</v>
      </c>
      <c r="C813" s="399">
        <v>54</v>
      </c>
      <c r="D813" s="402" t="s">
        <v>1063</v>
      </c>
    </row>
    <row r="814" spans="1:4">
      <c r="A814" s="401" t="s">
        <v>555</v>
      </c>
      <c r="B814" s="400">
        <v>54720</v>
      </c>
      <c r="C814" s="399">
        <v>54</v>
      </c>
      <c r="D814" s="402" t="s">
        <v>1063</v>
      </c>
    </row>
    <row r="815" spans="1:4">
      <c r="A815" s="401" t="s">
        <v>1082</v>
      </c>
      <c r="B815" s="400">
        <v>54743</v>
      </c>
      <c r="C815" s="399">
        <v>54</v>
      </c>
      <c r="D815" s="402" t="s">
        <v>1063</v>
      </c>
    </row>
    <row r="816" spans="1:4">
      <c r="A816" s="401" t="s">
        <v>556</v>
      </c>
      <c r="B816" s="400">
        <v>54800</v>
      </c>
      <c r="C816" s="399">
        <v>54</v>
      </c>
      <c r="D816" s="402" t="s">
        <v>1063</v>
      </c>
    </row>
    <row r="817" spans="1:4">
      <c r="A817" s="401" t="s">
        <v>557</v>
      </c>
      <c r="B817" s="400">
        <v>54810</v>
      </c>
      <c r="C817" s="399">
        <v>54</v>
      </c>
      <c r="D817" s="402" t="s">
        <v>1063</v>
      </c>
    </row>
    <row r="818" spans="1:4">
      <c r="A818" s="401" t="s">
        <v>800</v>
      </c>
      <c r="B818" s="400">
        <v>54820</v>
      </c>
      <c r="C818" s="399">
        <v>54</v>
      </c>
      <c r="D818" s="402" t="s">
        <v>1063</v>
      </c>
    </row>
    <row r="819" spans="1:4">
      <c r="A819" s="401" t="s">
        <v>1083</v>
      </c>
      <c r="B819" s="400">
        <v>54871</v>
      </c>
      <c r="C819" s="399">
        <v>54</v>
      </c>
      <c r="D819" s="402" t="s">
        <v>1063</v>
      </c>
    </row>
    <row r="820" spans="1:4">
      <c r="A820" s="401" t="s">
        <v>558</v>
      </c>
      <c r="B820" s="400">
        <v>54874</v>
      </c>
      <c r="C820" s="399">
        <v>54</v>
      </c>
      <c r="D820" s="402" t="s">
        <v>1063</v>
      </c>
    </row>
    <row r="821" spans="1:4">
      <c r="A821" s="401" t="s">
        <v>560</v>
      </c>
      <c r="B821" s="400">
        <v>63001</v>
      </c>
      <c r="C821" s="399">
        <v>63</v>
      </c>
      <c r="D821" s="402" t="s">
        <v>1084</v>
      </c>
    </row>
    <row r="822" spans="1:4">
      <c r="A822" s="401" t="s">
        <v>561</v>
      </c>
      <c r="B822" s="400">
        <v>63111</v>
      </c>
      <c r="C822" s="399">
        <v>63</v>
      </c>
      <c r="D822" s="402" t="s">
        <v>1084</v>
      </c>
    </row>
    <row r="823" spans="1:4">
      <c r="A823" s="401" t="s">
        <v>562</v>
      </c>
      <c r="B823" s="400">
        <v>63130</v>
      </c>
      <c r="C823" s="399">
        <v>63</v>
      </c>
      <c r="D823" s="402" t="s">
        <v>1084</v>
      </c>
    </row>
    <row r="824" spans="1:4">
      <c r="A824" s="401" t="s">
        <v>563</v>
      </c>
      <c r="B824" s="400">
        <v>63190</v>
      </c>
      <c r="C824" s="399">
        <v>63</v>
      </c>
      <c r="D824" s="402" t="s">
        <v>1084</v>
      </c>
    </row>
    <row r="825" spans="1:4">
      <c r="A825" s="401" t="s">
        <v>564</v>
      </c>
      <c r="B825" s="400">
        <v>63212</v>
      </c>
      <c r="C825" s="399">
        <v>63</v>
      </c>
      <c r="D825" s="402" t="s">
        <v>1084</v>
      </c>
    </row>
    <row r="826" spans="1:4">
      <c r="A826" s="401" t="s">
        <v>565</v>
      </c>
      <c r="B826" s="400">
        <v>63272</v>
      </c>
      <c r="C826" s="399">
        <v>63</v>
      </c>
      <c r="D826" s="402" t="s">
        <v>1084</v>
      </c>
    </row>
    <row r="827" spans="1:4">
      <c r="A827" s="401" t="s">
        <v>566</v>
      </c>
      <c r="B827" s="400">
        <v>63302</v>
      </c>
      <c r="C827" s="399">
        <v>63</v>
      </c>
      <c r="D827" s="402" t="s">
        <v>1084</v>
      </c>
    </row>
    <row r="828" spans="1:4">
      <c r="A828" s="401" t="s">
        <v>567</v>
      </c>
      <c r="B828" s="400">
        <v>63401</v>
      </c>
      <c r="C828" s="399">
        <v>63</v>
      </c>
      <c r="D828" s="402" t="s">
        <v>1084</v>
      </c>
    </row>
    <row r="829" spans="1:4">
      <c r="A829" s="401" t="s">
        <v>568</v>
      </c>
      <c r="B829" s="400">
        <v>63470</v>
      </c>
      <c r="C829" s="399">
        <v>63</v>
      </c>
      <c r="D829" s="402" t="s">
        <v>1084</v>
      </c>
    </row>
    <row r="830" spans="1:4">
      <c r="A830" s="401" t="s">
        <v>569</v>
      </c>
      <c r="B830" s="400">
        <v>63548</v>
      </c>
      <c r="C830" s="399">
        <v>63</v>
      </c>
      <c r="D830" s="402" t="s">
        <v>1084</v>
      </c>
    </row>
    <row r="831" spans="1:4">
      <c r="A831" s="401" t="s">
        <v>570</v>
      </c>
      <c r="B831" s="400">
        <v>63594</v>
      </c>
      <c r="C831" s="399">
        <v>63</v>
      </c>
      <c r="D831" s="402" t="s">
        <v>1084</v>
      </c>
    </row>
    <row r="832" spans="1:4">
      <c r="A832" s="401" t="s">
        <v>571</v>
      </c>
      <c r="B832" s="400">
        <v>63690</v>
      </c>
      <c r="C832" s="399">
        <v>63</v>
      </c>
      <c r="D832" s="402" t="s">
        <v>1084</v>
      </c>
    </row>
    <row r="833" spans="1:4">
      <c r="A833" s="401" t="s">
        <v>573</v>
      </c>
      <c r="B833" s="400">
        <v>66001</v>
      </c>
      <c r="C833" s="399">
        <v>66</v>
      </c>
      <c r="D833" s="402" t="s">
        <v>1085</v>
      </c>
    </row>
    <row r="834" spans="1:4">
      <c r="A834" s="401" t="s">
        <v>1086</v>
      </c>
      <c r="B834" s="400">
        <v>66045</v>
      </c>
      <c r="C834" s="399">
        <v>66</v>
      </c>
      <c r="D834" s="402" t="s">
        <v>1085</v>
      </c>
    </row>
    <row r="835" spans="1:4">
      <c r="A835" s="401" t="s">
        <v>263</v>
      </c>
      <c r="B835" s="400">
        <v>66075</v>
      </c>
      <c r="C835" s="399">
        <v>66</v>
      </c>
      <c r="D835" s="402" t="s">
        <v>1085</v>
      </c>
    </row>
    <row r="836" spans="1:4">
      <c r="A836" s="401" t="s">
        <v>574</v>
      </c>
      <c r="B836" s="400">
        <v>66088</v>
      </c>
      <c r="C836" s="399">
        <v>66</v>
      </c>
      <c r="D836" s="402" t="s">
        <v>1085</v>
      </c>
    </row>
    <row r="837" spans="1:4">
      <c r="A837" s="401" t="s">
        <v>575</v>
      </c>
      <c r="B837" s="400">
        <v>66170</v>
      </c>
      <c r="C837" s="399">
        <v>66</v>
      </c>
      <c r="D837" s="402" t="s">
        <v>1085</v>
      </c>
    </row>
    <row r="838" spans="1:4">
      <c r="A838" s="401" t="s">
        <v>1087</v>
      </c>
      <c r="B838" s="400">
        <v>66318</v>
      </c>
      <c r="C838" s="399">
        <v>66</v>
      </c>
      <c r="D838" s="402" t="s">
        <v>1085</v>
      </c>
    </row>
    <row r="839" spans="1:4">
      <c r="A839" s="401" t="s">
        <v>1088</v>
      </c>
      <c r="B839" s="400">
        <v>66383</v>
      </c>
      <c r="C839" s="399">
        <v>66</v>
      </c>
      <c r="D839" s="402" t="s">
        <v>1085</v>
      </c>
    </row>
    <row r="840" spans="1:4">
      <c r="A840" s="401" t="s">
        <v>576</v>
      </c>
      <c r="B840" s="400">
        <v>66400</v>
      </c>
      <c r="C840" s="399">
        <v>66</v>
      </c>
      <c r="D840" s="402" t="s">
        <v>1085</v>
      </c>
    </row>
    <row r="841" spans="1:4">
      <c r="A841" s="401" t="s">
        <v>1089</v>
      </c>
      <c r="B841" s="400">
        <v>66440</v>
      </c>
      <c r="C841" s="399">
        <v>66</v>
      </c>
      <c r="D841" s="402" t="s">
        <v>1085</v>
      </c>
    </row>
    <row r="842" spans="1:4">
      <c r="A842" s="401" t="s">
        <v>577</v>
      </c>
      <c r="B842" s="400">
        <v>66456</v>
      </c>
      <c r="C842" s="399">
        <v>66</v>
      </c>
      <c r="D842" s="402" t="s">
        <v>1085</v>
      </c>
    </row>
    <row r="843" spans="1:4">
      <c r="A843" s="401" t="s">
        <v>1090</v>
      </c>
      <c r="B843" s="400">
        <v>66572</v>
      </c>
      <c r="C843" s="399">
        <v>66</v>
      </c>
      <c r="D843" s="402" t="s">
        <v>1085</v>
      </c>
    </row>
    <row r="844" spans="1:4">
      <c r="A844" s="401" t="s">
        <v>578</v>
      </c>
      <c r="B844" s="400">
        <v>66594</v>
      </c>
      <c r="C844" s="399">
        <v>66</v>
      </c>
      <c r="D844" s="402" t="s">
        <v>1085</v>
      </c>
    </row>
    <row r="845" spans="1:4">
      <c r="A845" s="401" t="s">
        <v>579</v>
      </c>
      <c r="B845" s="400">
        <v>66682</v>
      </c>
      <c r="C845" s="399">
        <v>66</v>
      </c>
      <c r="D845" s="402" t="s">
        <v>1085</v>
      </c>
    </row>
    <row r="846" spans="1:4">
      <c r="A846" s="401" t="s">
        <v>580</v>
      </c>
      <c r="B846" s="400">
        <v>66687</v>
      </c>
      <c r="C846" s="399">
        <v>66</v>
      </c>
      <c r="D846" s="402" t="s">
        <v>1085</v>
      </c>
    </row>
    <row r="847" spans="1:4">
      <c r="A847" s="401" t="s">
        <v>582</v>
      </c>
      <c r="B847" s="400">
        <v>68001</v>
      </c>
      <c r="C847" s="399">
        <v>68</v>
      </c>
      <c r="D847" s="402" t="s">
        <v>1091</v>
      </c>
    </row>
    <row r="848" spans="1:4">
      <c r="A848" s="401" t="s">
        <v>1092</v>
      </c>
      <c r="B848" s="400">
        <v>68013</v>
      </c>
      <c r="C848" s="399">
        <v>68</v>
      </c>
      <c r="D848" s="402" t="s">
        <v>1091</v>
      </c>
    </row>
    <row r="849" spans="1:4">
      <c r="A849" s="401" t="s">
        <v>913</v>
      </c>
      <c r="B849" s="400">
        <v>68020</v>
      </c>
      <c r="C849" s="399">
        <v>68</v>
      </c>
      <c r="D849" s="402" t="s">
        <v>1091</v>
      </c>
    </row>
    <row r="850" spans="1:4">
      <c r="A850" s="401" t="s">
        <v>1093</v>
      </c>
      <c r="B850" s="400">
        <v>68051</v>
      </c>
      <c r="C850" s="399">
        <v>68</v>
      </c>
      <c r="D850" s="402" t="s">
        <v>1091</v>
      </c>
    </row>
    <row r="851" spans="1:4">
      <c r="A851" s="401" t="s">
        <v>583</v>
      </c>
      <c r="B851" s="400">
        <v>68077</v>
      </c>
      <c r="C851" s="399">
        <v>68</v>
      </c>
      <c r="D851" s="402" t="s">
        <v>1091</v>
      </c>
    </row>
    <row r="852" spans="1:4">
      <c r="A852" s="401" t="s">
        <v>584</v>
      </c>
      <c r="B852" s="400">
        <v>68079</v>
      </c>
      <c r="C852" s="399">
        <v>68</v>
      </c>
      <c r="D852" s="402" t="s">
        <v>1091</v>
      </c>
    </row>
    <row r="853" spans="1:4">
      <c r="A853" s="401" t="s">
        <v>585</v>
      </c>
      <c r="B853" s="400">
        <v>68081</v>
      </c>
      <c r="C853" s="399">
        <v>68</v>
      </c>
      <c r="D853" s="402" t="s">
        <v>1091</v>
      </c>
    </row>
    <row r="854" spans="1:4">
      <c r="A854" s="401" t="s">
        <v>57</v>
      </c>
      <c r="B854" s="400">
        <v>68092</v>
      </c>
      <c r="C854" s="399">
        <v>68</v>
      </c>
      <c r="D854" s="402" t="s">
        <v>1091</v>
      </c>
    </row>
    <row r="855" spans="1:4">
      <c r="A855" s="401" t="s">
        <v>1094</v>
      </c>
      <c r="B855" s="400">
        <v>68101</v>
      </c>
      <c r="C855" s="399">
        <v>68</v>
      </c>
      <c r="D855" s="402" t="s">
        <v>1091</v>
      </c>
    </row>
    <row r="856" spans="1:4">
      <c r="A856" s="401" t="s">
        <v>351</v>
      </c>
      <c r="B856" s="400">
        <v>68121</v>
      </c>
      <c r="C856" s="399">
        <v>68</v>
      </c>
      <c r="D856" s="402" t="s">
        <v>1091</v>
      </c>
    </row>
    <row r="857" spans="1:4">
      <c r="A857" s="401" t="s">
        <v>1095</v>
      </c>
      <c r="B857" s="400">
        <v>68132</v>
      </c>
      <c r="C857" s="399">
        <v>68</v>
      </c>
      <c r="D857" s="402" t="s">
        <v>1091</v>
      </c>
    </row>
    <row r="858" spans="1:4">
      <c r="A858" s="401" t="s">
        <v>1096</v>
      </c>
      <c r="B858" s="400">
        <v>68147</v>
      </c>
      <c r="C858" s="399">
        <v>68</v>
      </c>
      <c r="D858" s="402" t="s">
        <v>1091</v>
      </c>
    </row>
    <row r="859" spans="1:4">
      <c r="A859" s="401" t="s">
        <v>1097</v>
      </c>
      <c r="B859" s="400">
        <v>68152</v>
      </c>
      <c r="C859" s="399">
        <v>68</v>
      </c>
      <c r="D859" s="402" t="s">
        <v>1091</v>
      </c>
    </row>
    <row r="860" spans="1:4">
      <c r="A860" s="401" t="s">
        <v>1098</v>
      </c>
      <c r="B860" s="400">
        <v>68160</v>
      </c>
      <c r="C860" s="399">
        <v>68</v>
      </c>
      <c r="D860" s="402" t="s">
        <v>1091</v>
      </c>
    </row>
    <row r="861" spans="1:4">
      <c r="A861" s="401" t="s">
        <v>1099</v>
      </c>
      <c r="B861" s="400">
        <v>68162</v>
      </c>
      <c r="C861" s="399">
        <v>68</v>
      </c>
      <c r="D861" s="402" t="s">
        <v>1091</v>
      </c>
    </row>
    <row r="862" spans="1:4">
      <c r="A862" s="401" t="s">
        <v>586</v>
      </c>
      <c r="B862" s="400">
        <v>68167</v>
      </c>
      <c r="C862" s="399">
        <v>68</v>
      </c>
      <c r="D862" s="402" t="s">
        <v>1091</v>
      </c>
    </row>
    <row r="863" spans="1:4">
      <c r="A863" s="401" t="s">
        <v>1100</v>
      </c>
      <c r="B863" s="400">
        <v>68169</v>
      </c>
      <c r="C863" s="399">
        <v>68</v>
      </c>
      <c r="D863" s="402" t="s">
        <v>1091</v>
      </c>
    </row>
    <row r="864" spans="1:4">
      <c r="A864" s="401" t="s">
        <v>1101</v>
      </c>
      <c r="B864" s="400">
        <v>68176</v>
      </c>
      <c r="C864" s="399">
        <v>68</v>
      </c>
      <c r="D864" s="402" t="s">
        <v>1091</v>
      </c>
    </row>
    <row r="865" spans="1:4">
      <c r="A865" s="401" t="s">
        <v>1102</v>
      </c>
      <c r="B865" s="400">
        <v>68179</v>
      </c>
      <c r="C865" s="399">
        <v>68</v>
      </c>
      <c r="D865" s="402" t="s">
        <v>1091</v>
      </c>
    </row>
    <row r="866" spans="1:4">
      <c r="A866" s="401" t="s">
        <v>587</v>
      </c>
      <c r="B866" s="400">
        <v>68190</v>
      </c>
      <c r="C866" s="399">
        <v>68</v>
      </c>
      <c r="D866" s="402" t="s">
        <v>1091</v>
      </c>
    </row>
    <row r="867" spans="1:4">
      <c r="A867" s="401" t="s">
        <v>774</v>
      </c>
      <c r="B867" s="400">
        <v>68207</v>
      </c>
      <c r="C867" s="399">
        <v>68</v>
      </c>
      <c r="D867" s="402" t="s">
        <v>1091</v>
      </c>
    </row>
    <row r="868" spans="1:4">
      <c r="A868" s="401" t="s">
        <v>1103</v>
      </c>
      <c r="B868" s="400">
        <v>68209</v>
      </c>
      <c r="C868" s="399">
        <v>68</v>
      </c>
      <c r="D868" s="402" t="s">
        <v>1091</v>
      </c>
    </row>
    <row r="869" spans="1:4">
      <c r="A869" s="401" t="s">
        <v>1104</v>
      </c>
      <c r="B869" s="400">
        <v>68211</v>
      </c>
      <c r="C869" s="399">
        <v>68</v>
      </c>
      <c r="D869" s="402" t="s">
        <v>1091</v>
      </c>
    </row>
    <row r="870" spans="1:4">
      <c r="A870" s="401" t="s">
        <v>1105</v>
      </c>
      <c r="B870" s="400">
        <v>68217</v>
      </c>
      <c r="C870" s="399">
        <v>68</v>
      </c>
      <c r="D870" s="402" t="s">
        <v>1091</v>
      </c>
    </row>
    <row r="871" spans="1:4">
      <c r="A871" s="401" t="s">
        <v>1106</v>
      </c>
      <c r="B871" s="400">
        <v>68229</v>
      </c>
      <c r="C871" s="399">
        <v>68</v>
      </c>
      <c r="D871" s="402" t="s">
        <v>1091</v>
      </c>
    </row>
    <row r="872" spans="1:4">
      <c r="A872" s="401" t="s">
        <v>1107</v>
      </c>
      <c r="B872" s="400">
        <v>68235</v>
      </c>
      <c r="C872" s="399">
        <v>68</v>
      </c>
      <c r="D872" s="402" t="s">
        <v>1091</v>
      </c>
    </row>
    <row r="873" spans="1:4">
      <c r="A873" s="401" t="s">
        <v>1108</v>
      </c>
      <c r="B873" s="400">
        <v>68245</v>
      </c>
      <c r="C873" s="399">
        <v>68</v>
      </c>
      <c r="D873" s="402" t="s">
        <v>1091</v>
      </c>
    </row>
    <row r="874" spans="1:4">
      <c r="A874" s="401" t="s">
        <v>809</v>
      </c>
      <c r="B874" s="400">
        <v>68250</v>
      </c>
      <c r="C874" s="399">
        <v>68</v>
      </c>
      <c r="D874" s="402" t="s">
        <v>1091</v>
      </c>
    </row>
    <row r="875" spans="1:4">
      <c r="A875" s="401" t="s">
        <v>1109</v>
      </c>
      <c r="B875" s="400">
        <v>68255</v>
      </c>
      <c r="C875" s="399">
        <v>68</v>
      </c>
      <c r="D875" s="402" t="s">
        <v>1091</v>
      </c>
    </row>
    <row r="876" spans="1:4">
      <c r="A876" s="401" t="s">
        <v>1110</v>
      </c>
      <c r="B876" s="400">
        <v>68264</v>
      </c>
      <c r="C876" s="399">
        <v>68</v>
      </c>
      <c r="D876" s="402" t="s">
        <v>1091</v>
      </c>
    </row>
    <row r="877" spans="1:4">
      <c r="A877" s="401" t="s">
        <v>1111</v>
      </c>
      <c r="B877" s="400">
        <v>68266</v>
      </c>
      <c r="C877" s="399">
        <v>68</v>
      </c>
      <c r="D877" s="402" t="s">
        <v>1091</v>
      </c>
    </row>
    <row r="878" spans="1:4">
      <c r="A878" s="401" t="s">
        <v>1112</v>
      </c>
      <c r="B878" s="400">
        <v>68271</v>
      </c>
      <c r="C878" s="399">
        <v>68</v>
      </c>
      <c r="D878" s="402" t="s">
        <v>1091</v>
      </c>
    </row>
    <row r="879" spans="1:4">
      <c r="A879" s="401" t="s">
        <v>588</v>
      </c>
      <c r="B879" s="400">
        <v>68276</v>
      </c>
      <c r="C879" s="399">
        <v>68</v>
      </c>
      <c r="D879" s="402" t="s">
        <v>1091</v>
      </c>
    </row>
    <row r="880" spans="1:4">
      <c r="A880" s="401" t="s">
        <v>1113</v>
      </c>
      <c r="B880" s="400">
        <v>68296</v>
      </c>
      <c r="C880" s="399">
        <v>68</v>
      </c>
      <c r="D880" s="402" t="s">
        <v>1091</v>
      </c>
    </row>
    <row r="881" spans="1:4">
      <c r="A881" s="401" t="s">
        <v>1114</v>
      </c>
      <c r="B881" s="400">
        <v>68298</v>
      </c>
      <c r="C881" s="399">
        <v>68</v>
      </c>
      <c r="D881" s="402" t="s">
        <v>1091</v>
      </c>
    </row>
    <row r="882" spans="1:4">
      <c r="A882" s="401" t="s">
        <v>589</v>
      </c>
      <c r="B882" s="400">
        <v>68307</v>
      </c>
      <c r="C882" s="399">
        <v>68</v>
      </c>
      <c r="D882" s="402" t="s">
        <v>1091</v>
      </c>
    </row>
    <row r="883" spans="1:4">
      <c r="A883" s="401" t="s">
        <v>1115</v>
      </c>
      <c r="B883" s="400">
        <v>68318</v>
      </c>
      <c r="C883" s="399">
        <v>68</v>
      </c>
      <c r="D883" s="402" t="s">
        <v>1091</v>
      </c>
    </row>
    <row r="884" spans="1:4">
      <c r="A884" s="401" t="s">
        <v>778</v>
      </c>
      <c r="B884" s="400">
        <v>68320</v>
      </c>
      <c r="C884" s="399">
        <v>68</v>
      </c>
      <c r="D884" s="402" t="s">
        <v>1091</v>
      </c>
    </row>
    <row r="885" spans="1:4">
      <c r="A885" s="401" t="s">
        <v>1116</v>
      </c>
      <c r="B885" s="400">
        <v>68322</v>
      </c>
      <c r="C885" s="399">
        <v>68</v>
      </c>
      <c r="D885" s="402" t="s">
        <v>1091</v>
      </c>
    </row>
    <row r="886" spans="1:4">
      <c r="A886" s="401" t="s">
        <v>1117</v>
      </c>
      <c r="B886" s="400">
        <v>68324</v>
      </c>
      <c r="C886" s="399">
        <v>68</v>
      </c>
      <c r="D886" s="402" t="s">
        <v>1091</v>
      </c>
    </row>
    <row r="887" spans="1:4">
      <c r="A887" s="401" t="s">
        <v>1118</v>
      </c>
      <c r="B887" s="400">
        <v>68327</v>
      </c>
      <c r="C887" s="399">
        <v>68</v>
      </c>
      <c r="D887" s="402" t="s">
        <v>1091</v>
      </c>
    </row>
    <row r="888" spans="1:4">
      <c r="A888" s="401" t="s">
        <v>1119</v>
      </c>
      <c r="B888" s="400">
        <v>68344</v>
      </c>
      <c r="C888" s="399">
        <v>68</v>
      </c>
      <c r="D888" s="402" t="s">
        <v>1091</v>
      </c>
    </row>
    <row r="889" spans="1:4">
      <c r="A889" s="401" t="s">
        <v>1120</v>
      </c>
      <c r="B889" s="400">
        <v>68368</v>
      </c>
      <c r="C889" s="399">
        <v>68</v>
      </c>
      <c r="D889" s="402" t="s">
        <v>1091</v>
      </c>
    </row>
    <row r="890" spans="1:4">
      <c r="A890" s="401" t="s">
        <v>1121</v>
      </c>
      <c r="B890" s="400">
        <v>68370</v>
      </c>
      <c r="C890" s="399">
        <v>68</v>
      </c>
      <c r="D890" s="402" t="s">
        <v>1091</v>
      </c>
    </row>
    <row r="891" spans="1:4">
      <c r="A891" s="401" t="s">
        <v>1122</v>
      </c>
      <c r="B891" s="400">
        <v>68377</v>
      </c>
      <c r="C891" s="399">
        <v>68</v>
      </c>
      <c r="D891" s="402" t="s">
        <v>1091</v>
      </c>
    </row>
    <row r="892" spans="1:4">
      <c r="A892" s="401" t="s">
        <v>1123</v>
      </c>
      <c r="B892" s="400">
        <v>68385</v>
      </c>
      <c r="C892" s="399">
        <v>68</v>
      </c>
      <c r="D892" s="402" t="s">
        <v>1091</v>
      </c>
    </row>
    <row r="893" spans="1:4">
      <c r="A893" s="401" t="s">
        <v>307</v>
      </c>
      <c r="B893" s="400">
        <v>68397</v>
      </c>
      <c r="C893" s="399">
        <v>68</v>
      </c>
      <c r="D893" s="402" t="s">
        <v>1091</v>
      </c>
    </row>
    <row r="894" spans="1:4">
      <c r="A894" s="401" t="s">
        <v>590</v>
      </c>
      <c r="B894" s="400">
        <v>68406</v>
      </c>
      <c r="C894" s="399">
        <v>68</v>
      </c>
      <c r="D894" s="402" t="s">
        <v>1091</v>
      </c>
    </row>
    <row r="895" spans="1:4">
      <c r="A895" s="401" t="s">
        <v>1124</v>
      </c>
      <c r="B895" s="400">
        <v>68418</v>
      </c>
      <c r="C895" s="399">
        <v>68</v>
      </c>
      <c r="D895" s="402" t="s">
        <v>1091</v>
      </c>
    </row>
    <row r="896" spans="1:4">
      <c r="A896" s="401" t="s">
        <v>1125</v>
      </c>
      <c r="B896" s="400">
        <v>68425</v>
      </c>
      <c r="C896" s="399">
        <v>68</v>
      </c>
      <c r="D896" s="402" t="s">
        <v>1091</v>
      </c>
    </row>
    <row r="897" spans="1:4">
      <c r="A897" s="401" t="s">
        <v>591</v>
      </c>
      <c r="B897" s="400">
        <v>68432</v>
      </c>
      <c r="C897" s="399">
        <v>68</v>
      </c>
      <c r="D897" s="402" t="s">
        <v>1091</v>
      </c>
    </row>
    <row r="898" spans="1:4">
      <c r="A898" s="401" t="s">
        <v>1126</v>
      </c>
      <c r="B898" s="400">
        <v>68444</v>
      </c>
      <c r="C898" s="399">
        <v>68</v>
      </c>
      <c r="D898" s="402" t="s">
        <v>1091</v>
      </c>
    </row>
    <row r="899" spans="1:4">
      <c r="A899" s="401" t="s">
        <v>1127</v>
      </c>
      <c r="B899" s="400">
        <v>68464</v>
      </c>
      <c r="C899" s="399">
        <v>68</v>
      </c>
      <c r="D899" s="402" t="s">
        <v>1091</v>
      </c>
    </row>
    <row r="900" spans="1:4">
      <c r="A900" s="401" t="s">
        <v>1128</v>
      </c>
      <c r="B900" s="400">
        <v>68468</v>
      </c>
      <c r="C900" s="399">
        <v>68</v>
      </c>
      <c r="D900" s="402" t="s">
        <v>1091</v>
      </c>
    </row>
    <row r="901" spans="1:4">
      <c r="A901" s="401" t="s">
        <v>1129</v>
      </c>
      <c r="B901" s="400">
        <v>68498</v>
      </c>
      <c r="C901" s="399">
        <v>68</v>
      </c>
      <c r="D901" s="402" t="s">
        <v>1091</v>
      </c>
    </row>
    <row r="902" spans="1:4">
      <c r="A902" s="401" t="s">
        <v>592</v>
      </c>
      <c r="B902" s="400">
        <v>68500</v>
      </c>
      <c r="C902" s="399">
        <v>68</v>
      </c>
      <c r="D902" s="402" t="s">
        <v>1091</v>
      </c>
    </row>
    <row r="903" spans="1:4">
      <c r="A903" s="401" t="s">
        <v>1130</v>
      </c>
      <c r="B903" s="400">
        <v>68502</v>
      </c>
      <c r="C903" s="399">
        <v>68</v>
      </c>
      <c r="D903" s="402" t="s">
        <v>1091</v>
      </c>
    </row>
    <row r="904" spans="1:4">
      <c r="A904" s="401" t="s">
        <v>1131</v>
      </c>
      <c r="B904" s="400">
        <v>68522</v>
      </c>
      <c r="C904" s="399">
        <v>68</v>
      </c>
      <c r="D904" s="402" t="s">
        <v>1091</v>
      </c>
    </row>
    <row r="905" spans="1:4">
      <c r="A905" s="401" t="s">
        <v>1132</v>
      </c>
      <c r="B905" s="400">
        <v>68524</v>
      </c>
      <c r="C905" s="399">
        <v>68</v>
      </c>
      <c r="D905" s="402" t="s">
        <v>1091</v>
      </c>
    </row>
    <row r="906" spans="1:4">
      <c r="A906" s="401" t="s">
        <v>1133</v>
      </c>
      <c r="B906" s="400">
        <v>68533</v>
      </c>
      <c r="C906" s="399">
        <v>68</v>
      </c>
      <c r="D906" s="402" t="s">
        <v>1091</v>
      </c>
    </row>
    <row r="907" spans="1:4">
      <c r="A907" s="401" t="s">
        <v>593</v>
      </c>
      <c r="B907" s="400">
        <v>68547</v>
      </c>
      <c r="C907" s="399">
        <v>68</v>
      </c>
      <c r="D907" s="402" t="s">
        <v>1091</v>
      </c>
    </row>
    <row r="908" spans="1:4">
      <c r="A908" s="401" t="s">
        <v>1134</v>
      </c>
      <c r="B908" s="400">
        <v>68549</v>
      </c>
      <c r="C908" s="399">
        <v>68</v>
      </c>
      <c r="D908" s="402" t="s">
        <v>1091</v>
      </c>
    </row>
    <row r="909" spans="1:4">
      <c r="A909" s="401" t="s">
        <v>1135</v>
      </c>
      <c r="B909" s="400">
        <v>68572</v>
      </c>
      <c r="C909" s="399">
        <v>68</v>
      </c>
      <c r="D909" s="402" t="s">
        <v>1091</v>
      </c>
    </row>
    <row r="910" spans="1:4">
      <c r="A910" s="401" t="s">
        <v>1136</v>
      </c>
      <c r="B910" s="400">
        <v>68573</v>
      </c>
      <c r="C910" s="399">
        <v>68</v>
      </c>
      <c r="D910" s="402" t="s">
        <v>1091</v>
      </c>
    </row>
    <row r="911" spans="1:4">
      <c r="A911" s="401" t="s">
        <v>594</v>
      </c>
      <c r="B911" s="400">
        <v>68575</v>
      </c>
      <c r="C911" s="399">
        <v>68</v>
      </c>
      <c r="D911" s="402" t="s">
        <v>1091</v>
      </c>
    </row>
    <row r="912" spans="1:4">
      <c r="A912" s="401" t="s">
        <v>595</v>
      </c>
      <c r="B912" s="400">
        <v>68615</v>
      </c>
      <c r="C912" s="399">
        <v>68</v>
      </c>
      <c r="D912" s="402" t="s">
        <v>1091</v>
      </c>
    </row>
    <row r="913" spans="1:4">
      <c r="A913" s="401" t="s">
        <v>596</v>
      </c>
      <c r="B913" s="400">
        <v>68655</v>
      </c>
      <c r="C913" s="399">
        <v>68</v>
      </c>
      <c r="D913" s="402" t="s">
        <v>1091</v>
      </c>
    </row>
    <row r="914" spans="1:4">
      <c r="A914" s="401" t="s">
        <v>1137</v>
      </c>
      <c r="B914" s="400">
        <v>68669</v>
      </c>
      <c r="C914" s="399">
        <v>68</v>
      </c>
      <c r="D914" s="402" t="s">
        <v>1091</v>
      </c>
    </row>
    <row r="915" spans="1:4">
      <c r="A915" s="401" t="s">
        <v>1138</v>
      </c>
      <c r="B915" s="400">
        <v>68673</v>
      </c>
      <c r="C915" s="399">
        <v>68</v>
      </c>
      <c r="D915" s="402" t="s">
        <v>1091</v>
      </c>
    </row>
    <row r="916" spans="1:4">
      <c r="A916" s="401" t="s">
        <v>597</v>
      </c>
      <c r="B916" s="400">
        <v>68679</v>
      </c>
      <c r="C916" s="399">
        <v>68</v>
      </c>
      <c r="D916" s="402" t="s">
        <v>1091</v>
      </c>
    </row>
    <row r="917" spans="1:4">
      <c r="A917" s="401" t="s">
        <v>1139</v>
      </c>
      <c r="B917" s="400">
        <v>68682</v>
      </c>
      <c r="C917" s="399">
        <v>68</v>
      </c>
      <c r="D917" s="402" t="s">
        <v>1091</v>
      </c>
    </row>
    <row r="918" spans="1:4">
      <c r="A918" s="401" t="s">
        <v>1140</v>
      </c>
      <c r="B918" s="400">
        <v>68684</v>
      </c>
      <c r="C918" s="399">
        <v>68</v>
      </c>
      <c r="D918" s="402" t="s">
        <v>1091</v>
      </c>
    </row>
    <row r="919" spans="1:4">
      <c r="A919" s="401" t="s">
        <v>1141</v>
      </c>
      <c r="B919" s="400">
        <v>68686</v>
      </c>
      <c r="C919" s="399">
        <v>68</v>
      </c>
      <c r="D919" s="402" t="s">
        <v>1091</v>
      </c>
    </row>
    <row r="920" spans="1:4">
      <c r="A920" s="401" t="s">
        <v>598</v>
      </c>
      <c r="B920" s="400">
        <v>68689</v>
      </c>
      <c r="C920" s="399">
        <v>68</v>
      </c>
      <c r="D920" s="402" t="s">
        <v>1091</v>
      </c>
    </row>
    <row r="921" spans="1:4">
      <c r="A921" s="401" t="s">
        <v>795</v>
      </c>
      <c r="B921" s="400">
        <v>68705</v>
      </c>
      <c r="C921" s="399">
        <v>68</v>
      </c>
      <c r="D921" s="402" t="s">
        <v>1091</v>
      </c>
    </row>
    <row r="922" spans="1:4">
      <c r="A922" s="401" t="s">
        <v>1142</v>
      </c>
      <c r="B922" s="400">
        <v>68720</v>
      </c>
      <c r="C922" s="399">
        <v>68</v>
      </c>
      <c r="D922" s="402" t="s">
        <v>1091</v>
      </c>
    </row>
    <row r="923" spans="1:4">
      <c r="A923" s="401" t="s">
        <v>1143</v>
      </c>
      <c r="B923" s="400">
        <v>68745</v>
      </c>
      <c r="C923" s="399">
        <v>68</v>
      </c>
      <c r="D923" s="402" t="s">
        <v>1091</v>
      </c>
    </row>
    <row r="924" spans="1:4">
      <c r="A924" s="401" t="s">
        <v>599</v>
      </c>
      <c r="B924" s="400">
        <v>68755</v>
      </c>
      <c r="C924" s="399">
        <v>68</v>
      </c>
      <c r="D924" s="402" t="s">
        <v>1091</v>
      </c>
    </row>
    <row r="925" spans="1:4">
      <c r="A925" s="401" t="s">
        <v>1144</v>
      </c>
      <c r="B925" s="400">
        <v>68770</v>
      </c>
      <c r="C925" s="399">
        <v>68</v>
      </c>
      <c r="D925" s="402" t="s">
        <v>1091</v>
      </c>
    </row>
    <row r="926" spans="1:4">
      <c r="A926" s="401" t="s">
        <v>924</v>
      </c>
      <c r="B926" s="400">
        <v>68773</v>
      </c>
      <c r="C926" s="399">
        <v>68</v>
      </c>
      <c r="D926" s="402" t="s">
        <v>1091</v>
      </c>
    </row>
    <row r="927" spans="1:4">
      <c r="A927" s="401" t="s">
        <v>600</v>
      </c>
      <c r="B927" s="400">
        <v>68780</v>
      </c>
      <c r="C927" s="399">
        <v>68</v>
      </c>
      <c r="D927" s="402" t="s">
        <v>1091</v>
      </c>
    </row>
    <row r="928" spans="1:4">
      <c r="A928" s="401" t="s">
        <v>601</v>
      </c>
      <c r="B928" s="400">
        <v>68820</v>
      </c>
      <c r="C928" s="399">
        <v>68</v>
      </c>
      <c r="D928" s="402" t="s">
        <v>1091</v>
      </c>
    </row>
    <row r="929" spans="1:4">
      <c r="A929" s="401" t="s">
        <v>1145</v>
      </c>
      <c r="B929" s="400">
        <v>68855</v>
      </c>
      <c r="C929" s="399">
        <v>68</v>
      </c>
      <c r="D929" s="402" t="s">
        <v>1091</v>
      </c>
    </row>
    <row r="930" spans="1:4">
      <c r="A930" s="401" t="s">
        <v>602</v>
      </c>
      <c r="B930" s="400">
        <v>68861</v>
      </c>
      <c r="C930" s="399">
        <v>68</v>
      </c>
      <c r="D930" s="402" t="s">
        <v>1091</v>
      </c>
    </row>
    <row r="931" spans="1:4">
      <c r="A931" s="401" t="s">
        <v>1146</v>
      </c>
      <c r="B931" s="400">
        <v>68867</v>
      </c>
      <c r="C931" s="399">
        <v>68</v>
      </c>
      <c r="D931" s="402" t="s">
        <v>1091</v>
      </c>
    </row>
    <row r="932" spans="1:4">
      <c r="A932" s="401" t="s">
        <v>1147</v>
      </c>
      <c r="B932" s="400">
        <v>68872</v>
      </c>
      <c r="C932" s="399">
        <v>68</v>
      </c>
      <c r="D932" s="402" t="s">
        <v>1091</v>
      </c>
    </row>
    <row r="933" spans="1:4">
      <c r="A933" s="401" t="s">
        <v>603</v>
      </c>
      <c r="B933" s="400">
        <v>68895</v>
      </c>
      <c r="C933" s="399">
        <v>68</v>
      </c>
      <c r="D933" s="402" t="s">
        <v>1091</v>
      </c>
    </row>
    <row r="934" spans="1:4">
      <c r="A934" s="401" t="s">
        <v>605</v>
      </c>
      <c r="B934" s="400">
        <v>70001</v>
      </c>
      <c r="C934" s="399">
        <v>70</v>
      </c>
      <c r="D934" s="402" t="s">
        <v>924</v>
      </c>
    </row>
    <row r="935" spans="1:4">
      <c r="A935" s="401" t="s">
        <v>606</v>
      </c>
      <c r="B935" s="400">
        <v>70110</v>
      </c>
      <c r="C935" s="399">
        <v>70</v>
      </c>
      <c r="D935" s="402" t="s">
        <v>924</v>
      </c>
    </row>
    <row r="936" spans="1:4">
      <c r="A936" s="401" t="s">
        <v>607</v>
      </c>
      <c r="B936" s="400">
        <v>70124</v>
      </c>
      <c r="C936" s="399">
        <v>70</v>
      </c>
      <c r="D936" s="402" t="s">
        <v>924</v>
      </c>
    </row>
    <row r="937" spans="1:4">
      <c r="A937" s="401" t="s">
        <v>609</v>
      </c>
      <c r="B937" s="400">
        <v>70204</v>
      </c>
      <c r="C937" s="399">
        <v>70</v>
      </c>
      <c r="D937" s="402" t="s">
        <v>924</v>
      </c>
    </row>
    <row r="938" spans="1:4">
      <c r="A938" s="401" t="s">
        <v>610</v>
      </c>
      <c r="B938" s="400">
        <v>70215</v>
      </c>
      <c r="C938" s="399">
        <v>70</v>
      </c>
      <c r="D938" s="402" t="s">
        <v>924</v>
      </c>
    </row>
    <row r="939" spans="1:4">
      <c r="A939" s="401" t="s">
        <v>611</v>
      </c>
      <c r="B939" s="400">
        <v>70221</v>
      </c>
      <c r="C939" s="399">
        <v>70</v>
      </c>
      <c r="D939" s="402" t="s">
        <v>924</v>
      </c>
    </row>
    <row r="940" spans="1:4">
      <c r="A940" s="401" t="s">
        <v>608</v>
      </c>
      <c r="B940" s="400">
        <v>70230</v>
      </c>
      <c r="C940" s="399">
        <v>70</v>
      </c>
      <c r="D940" s="402" t="s">
        <v>924</v>
      </c>
    </row>
    <row r="941" spans="1:4">
      <c r="A941" s="401" t="s">
        <v>612</v>
      </c>
      <c r="B941" s="400">
        <v>70233</v>
      </c>
      <c r="C941" s="399">
        <v>70</v>
      </c>
      <c r="D941" s="402" t="s">
        <v>924</v>
      </c>
    </row>
    <row r="942" spans="1:4">
      <c r="A942" s="401" t="s">
        <v>613</v>
      </c>
      <c r="B942" s="400">
        <v>70235</v>
      </c>
      <c r="C942" s="399">
        <v>70</v>
      </c>
      <c r="D942" s="402" t="s">
        <v>924</v>
      </c>
    </row>
    <row r="943" spans="1:4">
      <c r="A943" s="401" t="s">
        <v>614</v>
      </c>
      <c r="B943" s="400">
        <v>70265</v>
      </c>
      <c r="C943" s="399">
        <v>70</v>
      </c>
      <c r="D943" s="402" t="s">
        <v>924</v>
      </c>
    </row>
    <row r="944" spans="1:4">
      <c r="A944" s="401" t="s">
        <v>615</v>
      </c>
      <c r="B944" s="400">
        <v>70400</v>
      </c>
      <c r="C944" s="399">
        <v>70</v>
      </c>
      <c r="D944" s="402" t="s">
        <v>924</v>
      </c>
    </row>
    <row r="945" spans="1:4">
      <c r="A945" s="401" t="s">
        <v>616</v>
      </c>
      <c r="B945" s="400">
        <v>70418</v>
      </c>
      <c r="C945" s="399">
        <v>70</v>
      </c>
      <c r="D945" s="402" t="s">
        <v>924</v>
      </c>
    </row>
    <row r="946" spans="1:4">
      <c r="A946" s="401" t="s">
        <v>617</v>
      </c>
      <c r="B946" s="400">
        <v>70429</v>
      </c>
      <c r="C946" s="399">
        <v>70</v>
      </c>
      <c r="D946" s="402" t="s">
        <v>924</v>
      </c>
    </row>
    <row r="947" spans="1:4">
      <c r="A947" s="401" t="s">
        <v>618</v>
      </c>
      <c r="B947" s="400">
        <v>70473</v>
      </c>
      <c r="C947" s="399">
        <v>70</v>
      </c>
      <c r="D947" s="402" t="s">
        <v>924</v>
      </c>
    </row>
    <row r="948" spans="1:4">
      <c r="A948" s="401" t="s">
        <v>619</v>
      </c>
      <c r="B948" s="400">
        <v>70508</v>
      </c>
      <c r="C948" s="399">
        <v>70</v>
      </c>
      <c r="D948" s="402" t="s">
        <v>924</v>
      </c>
    </row>
    <row r="949" spans="1:4">
      <c r="A949" s="401" t="s">
        <v>620</v>
      </c>
      <c r="B949" s="400">
        <v>70523</v>
      </c>
      <c r="C949" s="399">
        <v>70</v>
      </c>
      <c r="D949" s="402" t="s">
        <v>924</v>
      </c>
    </row>
    <row r="950" spans="1:4">
      <c r="A950" s="401" t="s">
        <v>621</v>
      </c>
      <c r="B950" s="400">
        <v>70670</v>
      </c>
      <c r="C950" s="399">
        <v>70</v>
      </c>
      <c r="D950" s="402" t="s">
        <v>924</v>
      </c>
    </row>
    <row r="951" spans="1:4">
      <c r="A951" s="401" t="s">
        <v>622</v>
      </c>
      <c r="B951" s="400">
        <v>70678</v>
      </c>
      <c r="C951" s="399">
        <v>70</v>
      </c>
      <c r="D951" s="402" t="s">
        <v>924</v>
      </c>
    </row>
    <row r="952" spans="1:4">
      <c r="A952" s="401" t="s">
        <v>623</v>
      </c>
      <c r="B952" s="400">
        <v>70702</v>
      </c>
      <c r="C952" s="399">
        <v>70</v>
      </c>
      <c r="D952" s="402" t="s">
        <v>924</v>
      </c>
    </row>
    <row r="953" spans="1:4">
      <c r="A953" s="401" t="s">
        <v>625</v>
      </c>
      <c r="B953" s="400">
        <v>70708</v>
      </c>
      <c r="C953" s="399">
        <v>70</v>
      </c>
      <c r="D953" s="402" t="s">
        <v>924</v>
      </c>
    </row>
    <row r="954" spans="1:4">
      <c r="A954" s="401" t="s">
        <v>626</v>
      </c>
      <c r="B954" s="400">
        <v>70713</v>
      </c>
      <c r="C954" s="399">
        <v>70</v>
      </c>
      <c r="D954" s="402" t="s">
        <v>924</v>
      </c>
    </row>
    <row r="955" spans="1:4">
      <c r="A955" s="401" t="s">
        <v>627</v>
      </c>
      <c r="B955" s="400">
        <v>70717</v>
      </c>
      <c r="C955" s="399">
        <v>70</v>
      </c>
      <c r="D955" s="402" t="s">
        <v>924</v>
      </c>
    </row>
    <row r="956" spans="1:4">
      <c r="A956" s="401" t="s">
        <v>624</v>
      </c>
      <c r="B956" s="400">
        <v>70742</v>
      </c>
      <c r="C956" s="399">
        <v>70</v>
      </c>
      <c r="D956" s="402" t="s">
        <v>924</v>
      </c>
    </row>
    <row r="957" spans="1:4">
      <c r="A957" s="401" t="s">
        <v>629</v>
      </c>
      <c r="B957" s="400">
        <v>70771</v>
      </c>
      <c r="C957" s="399">
        <v>70</v>
      </c>
      <c r="D957" s="402" t="s">
        <v>924</v>
      </c>
    </row>
    <row r="958" spans="1:4">
      <c r="A958" s="401" t="s">
        <v>628</v>
      </c>
      <c r="B958" s="400">
        <v>70820</v>
      </c>
      <c r="C958" s="399">
        <v>70</v>
      </c>
      <c r="D958" s="402" t="s">
        <v>924</v>
      </c>
    </row>
    <row r="959" spans="1:4">
      <c r="A959" s="401" t="s">
        <v>630</v>
      </c>
      <c r="B959" s="400">
        <v>70823</v>
      </c>
      <c r="C959" s="399">
        <v>70</v>
      </c>
      <c r="D959" s="402" t="s">
        <v>924</v>
      </c>
    </row>
    <row r="960" spans="1:4">
      <c r="A960" s="401" t="s">
        <v>632</v>
      </c>
      <c r="B960" s="400">
        <v>73001</v>
      </c>
      <c r="C960" s="399">
        <v>73</v>
      </c>
      <c r="D960" s="402" t="s">
        <v>1148</v>
      </c>
    </row>
    <row r="961" spans="1:4">
      <c r="A961" s="401" t="s">
        <v>633</v>
      </c>
      <c r="B961" s="400">
        <v>73024</v>
      </c>
      <c r="C961" s="399">
        <v>73</v>
      </c>
      <c r="D961" s="402" t="s">
        <v>1148</v>
      </c>
    </row>
    <row r="962" spans="1:4">
      <c r="A962" s="401" t="s">
        <v>1149</v>
      </c>
      <c r="B962" s="400">
        <v>73026</v>
      </c>
      <c r="C962" s="399">
        <v>73</v>
      </c>
      <c r="D962" s="402" t="s">
        <v>1148</v>
      </c>
    </row>
    <row r="963" spans="1:4">
      <c r="A963" s="401" t="s">
        <v>1150</v>
      </c>
      <c r="B963" s="400">
        <v>73030</v>
      </c>
      <c r="C963" s="399">
        <v>73</v>
      </c>
      <c r="D963" s="402" t="s">
        <v>1148</v>
      </c>
    </row>
    <row r="964" spans="1:4">
      <c r="A964" s="401" t="s">
        <v>1151</v>
      </c>
      <c r="B964" s="400">
        <v>73043</v>
      </c>
      <c r="C964" s="399">
        <v>73</v>
      </c>
      <c r="D964" s="402" t="s">
        <v>1148</v>
      </c>
    </row>
    <row r="965" spans="1:4">
      <c r="A965" s="401" t="s">
        <v>1152</v>
      </c>
      <c r="B965" s="400">
        <v>73055</v>
      </c>
      <c r="C965" s="399">
        <v>73</v>
      </c>
      <c r="D965" s="402" t="s">
        <v>1148</v>
      </c>
    </row>
    <row r="966" spans="1:4">
      <c r="A966" s="401" t="s">
        <v>634</v>
      </c>
      <c r="B966" s="400">
        <v>73067</v>
      </c>
      <c r="C966" s="399">
        <v>73</v>
      </c>
      <c r="D966" s="402" t="s">
        <v>1148</v>
      </c>
    </row>
    <row r="967" spans="1:4">
      <c r="A967" s="401" t="s">
        <v>635</v>
      </c>
      <c r="B967" s="400">
        <v>73124</v>
      </c>
      <c r="C967" s="399">
        <v>73</v>
      </c>
      <c r="D967" s="402" t="s">
        <v>1148</v>
      </c>
    </row>
    <row r="968" spans="1:4">
      <c r="A968" s="401" t="s">
        <v>1153</v>
      </c>
      <c r="B968" s="400">
        <v>73148</v>
      </c>
      <c r="C968" s="399">
        <v>73</v>
      </c>
      <c r="D968" s="402" t="s">
        <v>1148</v>
      </c>
    </row>
    <row r="969" spans="1:4">
      <c r="A969" s="401" t="s">
        <v>1154</v>
      </c>
      <c r="B969" s="400">
        <v>73152</v>
      </c>
      <c r="C969" s="399">
        <v>73</v>
      </c>
      <c r="D969" s="402" t="s">
        <v>1148</v>
      </c>
    </row>
    <row r="970" spans="1:4">
      <c r="A970" s="401" t="s">
        <v>636</v>
      </c>
      <c r="B970" s="400">
        <v>73168</v>
      </c>
      <c r="C970" s="399">
        <v>73</v>
      </c>
      <c r="D970" s="402" t="s">
        <v>1148</v>
      </c>
    </row>
    <row r="971" spans="1:4">
      <c r="A971" s="401" t="s">
        <v>1155</v>
      </c>
      <c r="B971" s="400">
        <v>73200</v>
      </c>
      <c r="C971" s="399">
        <v>73</v>
      </c>
      <c r="D971" s="402" t="s">
        <v>1148</v>
      </c>
    </row>
    <row r="972" spans="1:4">
      <c r="A972" s="401" t="s">
        <v>637</v>
      </c>
      <c r="B972" s="400">
        <v>73217</v>
      </c>
      <c r="C972" s="399">
        <v>73</v>
      </c>
      <c r="D972" s="402" t="s">
        <v>1148</v>
      </c>
    </row>
    <row r="973" spans="1:4">
      <c r="A973" s="401" t="s">
        <v>1156</v>
      </c>
      <c r="B973" s="400">
        <v>73226</v>
      </c>
      <c r="C973" s="399">
        <v>73</v>
      </c>
      <c r="D973" s="402" t="s">
        <v>1148</v>
      </c>
    </row>
    <row r="974" spans="1:4">
      <c r="A974" s="401" t="s">
        <v>638</v>
      </c>
      <c r="B974" s="400">
        <v>73236</v>
      </c>
      <c r="C974" s="399">
        <v>73</v>
      </c>
      <c r="D974" s="402" t="s">
        <v>1148</v>
      </c>
    </row>
    <row r="975" spans="1:4">
      <c r="A975" s="401" t="s">
        <v>639</v>
      </c>
      <c r="B975" s="400">
        <v>73268</v>
      </c>
      <c r="C975" s="399">
        <v>73</v>
      </c>
      <c r="D975" s="402" t="s">
        <v>1148</v>
      </c>
    </row>
    <row r="976" spans="1:4">
      <c r="A976" s="401" t="s">
        <v>1157</v>
      </c>
      <c r="B976" s="400">
        <v>73270</v>
      </c>
      <c r="C976" s="399">
        <v>73</v>
      </c>
      <c r="D976" s="402" t="s">
        <v>1148</v>
      </c>
    </row>
    <row r="977" spans="1:4">
      <c r="A977" s="401" t="s">
        <v>640</v>
      </c>
      <c r="B977" s="400">
        <v>73275</v>
      </c>
      <c r="C977" s="399">
        <v>73</v>
      </c>
      <c r="D977" s="402" t="s">
        <v>1148</v>
      </c>
    </row>
    <row r="978" spans="1:4">
      <c r="A978" s="401" t="s">
        <v>641</v>
      </c>
      <c r="B978" s="400">
        <v>73283</v>
      </c>
      <c r="C978" s="399">
        <v>73</v>
      </c>
      <c r="D978" s="402" t="s">
        <v>1148</v>
      </c>
    </row>
    <row r="979" spans="1:4">
      <c r="A979" s="401" t="s">
        <v>642</v>
      </c>
      <c r="B979" s="400">
        <v>73319</v>
      </c>
      <c r="C979" s="399">
        <v>73</v>
      </c>
      <c r="D979" s="402" t="s">
        <v>1148</v>
      </c>
    </row>
    <row r="980" spans="1:4">
      <c r="A980" s="401" t="s">
        <v>1158</v>
      </c>
      <c r="B980" s="400">
        <v>73347</v>
      </c>
      <c r="C980" s="399">
        <v>73</v>
      </c>
      <c r="D980" s="402" t="s">
        <v>1148</v>
      </c>
    </row>
    <row r="981" spans="1:4">
      <c r="A981" s="401" t="s">
        <v>643</v>
      </c>
      <c r="B981" s="400">
        <v>73349</v>
      </c>
      <c r="C981" s="399">
        <v>73</v>
      </c>
      <c r="D981" s="402" t="s">
        <v>1148</v>
      </c>
    </row>
    <row r="982" spans="1:4">
      <c r="A982" s="401" t="s">
        <v>1159</v>
      </c>
      <c r="B982" s="400">
        <v>73352</v>
      </c>
      <c r="C982" s="399">
        <v>73</v>
      </c>
      <c r="D982" s="402" t="s">
        <v>1148</v>
      </c>
    </row>
    <row r="983" spans="1:4">
      <c r="A983" s="401" t="s">
        <v>644</v>
      </c>
      <c r="B983" s="400">
        <v>73408</v>
      </c>
      <c r="C983" s="399">
        <v>73</v>
      </c>
      <c r="D983" s="402" t="s">
        <v>1148</v>
      </c>
    </row>
    <row r="984" spans="1:4">
      <c r="A984" s="401" t="s">
        <v>645</v>
      </c>
      <c r="B984" s="400">
        <v>73411</v>
      </c>
      <c r="C984" s="399">
        <v>73</v>
      </c>
      <c r="D984" s="402" t="s">
        <v>1148</v>
      </c>
    </row>
    <row r="985" spans="1:4">
      <c r="A985" s="401" t="s">
        <v>646</v>
      </c>
      <c r="B985" s="400">
        <v>73443</v>
      </c>
      <c r="C985" s="399">
        <v>73</v>
      </c>
      <c r="D985" s="402" t="s">
        <v>1148</v>
      </c>
    </row>
    <row r="986" spans="1:4">
      <c r="A986" s="401" t="s">
        <v>647</v>
      </c>
      <c r="B986" s="400">
        <v>73449</v>
      </c>
      <c r="C986" s="399">
        <v>73</v>
      </c>
      <c r="D986" s="402" t="s">
        <v>1148</v>
      </c>
    </row>
    <row r="987" spans="1:4">
      <c r="A987" s="401" t="s">
        <v>1160</v>
      </c>
      <c r="B987" s="400">
        <v>73461</v>
      </c>
      <c r="C987" s="399">
        <v>73</v>
      </c>
      <c r="D987" s="402" t="s">
        <v>1148</v>
      </c>
    </row>
    <row r="988" spans="1:4">
      <c r="A988" s="401" t="s">
        <v>648</v>
      </c>
      <c r="B988" s="400">
        <v>73483</v>
      </c>
      <c r="C988" s="399">
        <v>73</v>
      </c>
      <c r="D988" s="402" t="s">
        <v>1148</v>
      </c>
    </row>
    <row r="989" spans="1:4">
      <c r="A989" s="401" t="s">
        <v>649</v>
      </c>
      <c r="B989" s="400">
        <v>73504</v>
      </c>
      <c r="C989" s="399">
        <v>73</v>
      </c>
      <c r="D989" s="402" t="s">
        <v>1148</v>
      </c>
    </row>
    <row r="990" spans="1:4">
      <c r="A990" s="401" t="s">
        <v>1161</v>
      </c>
      <c r="B990" s="400">
        <v>73520</v>
      </c>
      <c r="C990" s="399">
        <v>73</v>
      </c>
      <c r="D990" s="402" t="s">
        <v>1148</v>
      </c>
    </row>
    <row r="991" spans="1:4">
      <c r="A991" s="401" t="s">
        <v>1162</v>
      </c>
      <c r="B991" s="400">
        <v>73547</v>
      </c>
      <c r="C991" s="399">
        <v>73</v>
      </c>
      <c r="D991" s="402" t="s">
        <v>1148</v>
      </c>
    </row>
    <row r="992" spans="1:4">
      <c r="A992" s="401" t="s">
        <v>650</v>
      </c>
      <c r="B992" s="400">
        <v>73555</v>
      </c>
      <c r="C992" s="399">
        <v>73</v>
      </c>
      <c r="D992" s="402" t="s">
        <v>1148</v>
      </c>
    </row>
    <row r="993" spans="1:4">
      <c r="A993" s="401" t="s">
        <v>1163</v>
      </c>
      <c r="B993" s="400">
        <v>73563</v>
      </c>
      <c r="C993" s="399">
        <v>73</v>
      </c>
      <c r="D993" s="402" t="s">
        <v>1148</v>
      </c>
    </row>
    <row r="994" spans="1:4">
      <c r="A994" s="401" t="s">
        <v>651</v>
      </c>
      <c r="B994" s="400">
        <v>73585</v>
      </c>
      <c r="C994" s="399">
        <v>73</v>
      </c>
      <c r="D994" s="402" t="s">
        <v>1148</v>
      </c>
    </row>
    <row r="995" spans="1:4">
      <c r="A995" s="401" t="s">
        <v>652</v>
      </c>
      <c r="B995" s="400">
        <v>73616</v>
      </c>
      <c r="C995" s="399">
        <v>73</v>
      </c>
      <c r="D995" s="402" t="s">
        <v>1148</v>
      </c>
    </row>
    <row r="996" spans="1:4">
      <c r="A996" s="401" t="s">
        <v>653</v>
      </c>
      <c r="B996" s="400">
        <v>73622</v>
      </c>
      <c r="C996" s="399">
        <v>73</v>
      </c>
      <c r="D996" s="402" t="s">
        <v>1148</v>
      </c>
    </row>
    <row r="997" spans="1:4">
      <c r="A997" s="401" t="s">
        <v>654</v>
      </c>
      <c r="B997" s="400">
        <v>73624</v>
      </c>
      <c r="C997" s="399">
        <v>73</v>
      </c>
      <c r="D997" s="402" t="s">
        <v>1148</v>
      </c>
    </row>
    <row r="998" spans="1:4">
      <c r="A998" s="401" t="s">
        <v>655</v>
      </c>
      <c r="B998" s="400">
        <v>73671</v>
      </c>
      <c r="C998" s="399">
        <v>73</v>
      </c>
      <c r="D998" s="402" t="s">
        <v>1148</v>
      </c>
    </row>
    <row r="999" spans="1:4">
      <c r="A999" s="401" t="s">
        <v>656</v>
      </c>
      <c r="B999" s="400">
        <v>73675</v>
      </c>
      <c r="C999" s="399">
        <v>73</v>
      </c>
      <c r="D999" s="402" t="s">
        <v>1148</v>
      </c>
    </row>
    <row r="1000" spans="1:4">
      <c r="A1000" s="401" t="s">
        <v>1164</v>
      </c>
      <c r="B1000" s="400">
        <v>73678</v>
      </c>
      <c r="C1000" s="399">
        <v>73</v>
      </c>
      <c r="D1000" s="402" t="s">
        <v>1148</v>
      </c>
    </row>
    <row r="1001" spans="1:4">
      <c r="A1001" s="401" t="s">
        <v>1165</v>
      </c>
      <c r="B1001" s="400">
        <v>73686</v>
      </c>
      <c r="C1001" s="399">
        <v>73</v>
      </c>
      <c r="D1001" s="402" t="s">
        <v>1148</v>
      </c>
    </row>
    <row r="1002" spans="1:4">
      <c r="A1002" s="401" t="s">
        <v>287</v>
      </c>
      <c r="B1002" s="400">
        <v>73770</v>
      </c>
      <c r="C1002" s="399">
        <v>73</v>
      </c>
      <c r="D1002" s="402" t="s">
        <v>1148</v>
      </c>
    </row>
    <row r="1003" spans="1:4">
      <c r="A1003" s="401" t="s">
        <v>1166</v>
      </c>
      <c r="B1003" s="400">
        <v>73854</v>
      </c>
      <c r="C1003" s="399">
        <v>73</v>
      </c>
      <c r="D1003" s="402" t="s">
        <v>1148</v>
      </c>
    </row>
    <row r="1004" spans="1:4">
      <c r="A1004" s="401" t="s">
        <v>1167</v>
      </c>
      <c r="B1004" s="400">
        <v>73861</v>
      </c>
      <c r="C1004" s="399">
        <v>73</v>
      </c>
      <c r="D1004" s="402" t="s">
        <v>1148</v>
      </c>
    </row>
    <row r="1005" spans="1:4">
      <c r="A1005" s="401" t="s">
        <v>1168</v>
      </c>
      <c r="B1005" s="400">
        <v>73870</v>
      </c>
      <c r="C1005" s="399">
        <v>73</v>
      </c>
      <c r="D1005" s="402" t="s">
        <v>1148</v>
      </c>
    </row>
    <row r="1006" spans="1:4">
      <c r="A1006" s="401" t="s">
        <v>1169</v>
      </c>
      <c r="B1006" s="400">
        <v>73873</v>
      </c>
      <c r="C1006" s="399">
        <v>73</v>
      </c>
      <c r="D1006" s="402" t="s">
        <v>1148</v>
      </c>
    </row>
    <row r="1007" spans="1:4">
      <c r="A1007" s="401" t="s">
        <v>658</v>
      </c>
      <c r="B1007" s="400">
        <v>76001</v>
      </c>
      <c r="C1007" s="399">
        <v>76</v>
      </c>
      <c r="D1007" s="402" t="s">
        <v>1170</v>
      </c>
    </row>
    <row r="1008" spans="1:4">
      <c r="A1008" s="401" t="s">
        <v>659</v>
      </c>
      <c r="B1008" s="400">
        <v>76020</v>
      </c>
      <c r="C1008" s="399">
        <v>76</v>
      </c>
      <c r="D1008" s="402" t="s">
        <v>1170</v>
      </c>
    </row>
    <row r="1009" spans="1:4">
      <c r="A1009" s="401" t="s">
        <v>660</v>
      </c>
      <c r="B1009" s="400">
        <v>76036</v>
      </c>
      <c r="C1009" s="399">
        <v>76</v>
      </c>
      <c r="D1009" s="402" t="s">
        <v>1170</v>
      </c>
    </row>
    <row r="1010" spans="1:4">
      <c r="A1010" s="401" t="s">
        <v>661</v>
      </c>
      <c r="B1010" s="400">
        <v>76041</v>
      </c>
      <c r="C1010" s="399">
        <v>76</v>
      </c>
      <c r="D1010" s="402" t="s">
        <v>1170</v>
      </c>
    </row>
    <row r="1011" spans="1:4">
      <c r="A1011" s="401" t="s">
        <v>662</v>
      </c>
      <c r="B1011" s="400">
        <v>76054</v>
      </c>
      <c r="C1011" s="399">
        <v>76</v>
      </c>
      <c r="D1011" s="402" t="s">
        <v>1170</v>
      </c>
    </row>
    <row r="1012" spans="1:4">
      <c r="A1012" s="401" t="s">
        <v>663</v>
      </c>
      <c r="B1012" s="400">
        <v>76100</v>
      </c>
      <c r="C1012" s="399">
        <v>76</v>
      </c>
      <c r="D1012" s="402" t="s">
        <v>1170</v>
      </c>
    </row>
    <row r="1013" spans="1:4">
      <c r="A1013" s="401" t="s">
        <v>664</v>
      </c>
      <c r="B1013" s="400">
        <v>76109</v>
      </c>
      <c r="C1013" s="399">
        <v>76</v>
      </c>
      <c r="D1013" s="402" t="s">
        <v>1170</v>
      </c>
    </row>
    <row r="1014" spans="1:4">
      <c r="A1014" s="401" t="s">
        <v>678</v>
      </c>
      <c r="B1014" s="400">
        <v>76111</v>
      </c>
      <c r="C1014" s="399">
        <v>76</v>
      </c>
      <c r="D1014" s="402" t="s">
        <v>1170</v>
      </c>
    </row>
    <row r="1015" spans="1:4">
      <c r="A1015" s="401" t="s">
        <v>665</v>
      </c>
      <c r="B1015" s="400">
        <v>76113</v>
      </c>
      <c r="C1015" s="399">
        <v>76</v>
      </c>
      <c r="D1015" s="402" t="s">
        <v>1170</v>
      </c>
    </row>
    <row r="1016" spans="1:4">
      <c r="A1016" s="401" t="s">
        <v>666</v>
      </c>
      <c r="B1016" s="400">
        <v>76122</v>
      </c>
      <c r="C1016" s="399">
        <v>76</v>
      </c>
      <c r="D1016" s="402" t="s">
        <v>1170</v>
      </c>
    </row>
    <row r="1017" spans="1:4">
      <c r="A1017" s="401" t="s">
        <v>667</v>
      </c>
      <c r="B1017" s="400">
        <v>76126</v>
      </c>
      <c r="C1017" s="399">
        <v>76</v>
      </c>
      <c r="D1017" s="402" t="s">
        <v>1170</v>
      </c>
    </row>
    <row r="1018" spans="1:4">
      <c r="A1018" s="401" t="s">
        <v>668</v>
      </c>
      <c r="B1018" s="400">
        <v>76130</v>
      </c>
      <c r="C1018" s="399">
        <v>76</v>
      </c>
      <c r="D1018" s="402" t="s">
        <v>1170</v>
      </c>
    </row>
    <row r="1019" spans="1:4">
      <c r="A1019" s="401" t="s">
        <v>669</v>
      </c>
      <c r="B1019" s="400">
        <v>76147</v>
      </c>
      <c r="C1019" s="399">
        <v>76</v>
      </c>
      <c r="D1019" s="402" t="s">
        <v>1170</v>
      </c>
    </row>
    <row r="1020" spans="1:4">
      <c r="A1020" s="401" t="s">
        <v>670</v>
      </c>
      <c r="B1020" s="400">
        <v>76233</v>
      </c>
      <c r="C1020" s="399">
        <v>76</v>
      </c>
      <c r="D1020" s="402" t="s">
        <v>1170</v>
      </c>
    </row>
    <row r="1021" spans="1:4">
      <c r="A1021" s="401" t="s">
        <v>671</v>
      </c>
      <c r="B1021" s="400">
        <v>76243</v>
      </c>
      <c r="C1021" s="399">
        <v>76</v>
      </c>
      <c r="D1021" s="402" t="s">
        <v>1170</v>
      </c>
    </row>
    <row r="1022" spans="1:4">
      <c r="A1022" s="401" t="s">
        <v>672</v>
      </c>
      <c r="B1022" s="400">
        <v>76246</v>
      </c>
      <c r="C1022" s="399">
        <v>76</v>
      </c>
      <c r="D1022" s="402" t="s">
        <v>1170</v>
      </c>
    </row>
    <row r="1023" spans="1:4">
      <c r="A1023" s="401" t="s">
        <v>673</v>
      </c>
      <c r="B1023" s="400">
        <v>76248</v>
      </c>
      <c r="C1023" s="399">
        <v>76</v>
      </c>
      <c r="D1023" s="402" t="s">
        <v>1170</v>
      </c>
    </row>
    <row r="1024" spans="1:4">
      <c r="A1024" s="401" t="s">
        <v>674</v>
      </c>
      <c r="B1024" s="400">
        <v>76250</v>
      </c>
      <c r="C1024" s="399">
        <v>76</v>
      </c>
      <c r="D1024" s="402" t="s">
        <v>1170</v>
      </c>
    </row>
    <row r="1025" spans="1:4">
      <c r="A1025" s="401" t="s">
        <v>675</v>
      </c>
      <c r="B1025" s="400">
        <v>76275</v>
      </c>
      <c r="C1025" s="399">
        <v>76</v>
      </c>
      <c r="D1025" s="402" t="s">
        <v>1170</v>
      </c>
    </row>
    <row r="1026" spans="1:4">
      <c r="A1026" s="401" t="s">
        <v>676</v>
      </c>
      <c r="B1026" s="400">
        <v>76306</v>
      </c>
      <c r="C1026" s="399">
        <v>76</v>
      </c>
      <c r="D1026" s="402" t="s">
        <v>1170</v>
      </c>
    </row>
    <row r="1027" spans="1:4">
      <c r="A1027" s="401" t="s">
        <v>677</v>
      </c>
      <c r="B1027" s="400">
        <v>76318</v>
      </c>
      <c r="C1027" s="399">
        <v>76</v>
      </c>
      <c r="D1027" s="402" t="s">
        <v>1170</v>
      </c>
    </row>
    <row r="1028" spans="1:4">
      <c r="A1028" s="401" t="s">
        <v>679</v>
      </c>
      <c r="B1028" s="400">
        <v>76364</v>
      </c>
      <c r="C1028" s="399">
        <v>76</v>
      </c>
      <c r="D1028" s="402" t="s">
        <v>1170</v>
      </c>
    </row>
    <row r="1029" spans="1:4">
      <c r="A1029" s="401" t="s">
        <v>680</v>
      </c>
      <c r="B1029" s="400">
        <v>76377</v>
      </c>
      <c r="C1029" s="399">
        <v>76</v>
      </c>
      <c r="D1029" s="402" t="s">
        <v>1170</v>
      </c>
    </row>
    <row r="1030" spans="1:4">
      <c r="A1030" s="401" t="s">
        <v>681</v>
      </c>
      <c r="B1030" s="400">
        <v>76400</v>
      </c>
      <c r="C1030" s="399">
        <v>76</v>
      </c>
      <c r="D1030" s="402" t="s">
        <v>1170</v>
      </c>
    </row>
    <row r="1031" spans="1:4">
      <c r="A1031" s="401" t="s">
        <v>682</v>
      </c>
      <c r="B1031" s="400">
        <v>76403</v>
      </c>
      <c r="C1031" s="399">
        <v>76</v>
      </c>
      <c r="D1031" s="402" t="s">
        <v>1170</v>
      </c>
    </row>
    <row r="1032" spans="1:4">
      <c r="A1032" s="401" t="s">
        <v>683</v>
      </c>
      <c r="B1032" s="400">
        <v>76497</v>
      </c>
      <c r="C1032" s="399">
        <v>76</v>
      </c>
      <c r="D1032" s="402" t="s">
        <v>1170</v>
      </c>
    </row>
    <row r="1033" spans="1:4">
      <c r="A1033" s="401" t="s">
        <v>684</v>
      </c>
      <c r="B1033" s="400">
        <v>76520</v>
      </c>
      <c r="C1033" s="399">
        <v>76</v>
      </c>
      <c r="D1033" s="402" t="s">
        <v>1170</v>
      </c>
    </row>
    <row r="1034" spans="1:4">
      <c r="A1034" s="401" t="s">
        <v>685</v>
      </c>
      <c r="B1034" s="400">
        <v>76563</v>
      </c>
      <c r="C1034" s="399">
        <v>76</v>
      </c>
      <c r="D1034" s="402" t="s">
        <v>1170</v>
      </c>
    </row>
    <row r="1035" spans="1:4">
      <c r="A1035" s="401" t="s">
        <v>686</v>
      </c>
      <c r="B1035" s="400">
        <v>76606</v>
      </c>
      <c r="C1035" s="399">
        <v>76</v>
      </c>
      <c r="D1035" s="402" t="s">
        <v>1170</v>
      </c>
    </row>
    <row r="1036" spans="1:4">
      <c r="A1036" s="401" t="s">
        <v>687</v>
      </c>
      <c r="B1036" s="400">
        <v>76616</v>
      </c>
      <c r="C1036" s="399">
        <v>76</v>
      </c>
      <c r="D1036" s="402" t="s">
        <v>1170</v>
      </c>
    </row>
    <row r="1037" spans="1:4">
      <c r="A1037" s="401" t="s">
        <v>688</v>
      </c>
      <c r="B1037" s="400">
        <v>76622</v>
      </c>
      <c r="C1037" s="399">
        <v>76</v>
      </c>
      <c r="D1037" s="402" t="s">
        <v>1170</v>
      </c>
    </row>
    <row r="1038" spans="1:4">
      <c r="A1038" s="404" t="s">
        <v>689</v>
      </c>
      <c r="B1038" s="400">
        <v>76670</v>
      </c>
      <c r="C1038" s="399">
        <v>76</v>
      </c>
      <c r="D1038" s="402" t="s">
        <v>1170</v>
      </c>
    </row>
    <row r="1039" spans="1:4">
      <c r="A1039" s="401" t="s">
        <v>690</v>
      </c>
      <c r="B1039" s="400">
        <v>76736</v>
      </c>
      <c r="C1039" s="399">
        <v>76</v>
      </c>
      <c r="D1039" s="402" t="s">
        <v>1170</v>
      </c>
    </row>
    <row r="1040" spans="1:4">
      <c r="A1040" s="401" t="s">
        <v>691</v>
      </c>
      <c r="B1040" s="400">
        <v>76823</v>
      </c>
      <c r="C1040" s="399">
        <v>76</v>
      </c>
      <c r="D1040" s="402" t="s">
        <v>1170</v>
      </c>
    </row>
    <row r="1041" spans="1:4">
      <c r="A1041" s="401" t="s">
        <v>692</v>
      </c>
      <c r="B1041" s="400">
        <v>76828</v>
      </c>
      <c r="C1041" s="399">
        <v>76</v>
      </c>
      <c r="D1041" s="402" t="s">
        <v>1170</v>
      </c>
    </row>
    <row r="1042" spans="1:4">
      <c r="A1042" s="401" t="s">
        <v>693</v>
      </c>
      <c r="B1042" s="400">
        <v>76834</v>
      </c>
      <c r="C1042" s="399">
        <v>76</v>
      </c>
      <c r="D1042" s="402" t="s">
        <v>1170</v>
      </c>
    </row>
    <row r="1043" spans="1:4">
      <c r="A1043" s="401" t="s">
        <v>694</v>
      </c>
      <c r="B1043" s="400">
        <v>76845</v>
      </c>
      <c r="C1043" s="399">
        <v>76</v>
      </c>
      <c r="D1043" s="402" t="s">
        <v>1170</v>
      </c>
    </row>
    <row r="1044" spans="1:4">
      <c r="A1044" s="401" t="s">
        <v>695</v>
      </c>
      <c r="B1044" s="400">
        <v>76863</v>
      </c>
      <c r="C1044" s="399">
        <v>76</v>
      </c>
      <c r="D1044" s="402" t="s">
        <v>1170</v>
      </c>
    </row>
    <row r="1045" spans="1:4">
      <c r="A1045" s="401" t="s">
        <v>696</v>
      </c>
      <c r="B1045" s="400">
        <v>76869</v>
      </c>
      <c r="C1045" s="399">
        <v>76</v>
      </c>
      <c r="D1045" s="402" t="s">
        <v>1170</v>
      </c>
    </row>
    <row r="1046" spans="1:4">
      <c r="A1046" s="401" t="s">
        <v>697</v>
      </c>
      <c r="B1046" s="400">
        <v>76890</v>
      </c>
      <c r="C1046" s="399">
        <v>76</v>
      </c>
      <c r="D1046" s="402" t="s">
        <v>1170</v>
      </c>
    </row>
    <row r="1047" spans="1:4">
      <c r="A1047" s="401" t="s">
        <v>698</v>
      </c>
      <c r="B1047" s="400">
        <v>76892</v>
      </c>
      <c r="C1047" s="399">
        <v>76</v>
      </c>
      <c r="D1047" s="402" t="s">
        <v>1170</v>
      </c>
    </row>
    <row r="1048" spans="1:4">
      <c r="A1048" s="401" t="s">
        <v>699</v>
      </c>
      <c r="B1048" s="400">
        <v>76895</v>
      </c>
      <c r="C1048" s="399">
        <v>76</v>
      </c>
      <c r="D1048" s="402" t="s">
        <v>1170</v>
      </c>
    </row>
    <row r="1049" spans="1:4">
      <c r="A1049" s="401" t="s">
        <v>701</v>
      </c>
      <c r="B1049" s="400">
        <v>81001</v>
      </c>
      <c r="C1049" s="399">
        <v>81</v>
      </c>
      <c r="D1049" s="402" t="s">
        <v>1171</v>
      </c>
    </row>
    <row r="1050" spans="1:4">
      <c r="A1050" s="401" t="s">
        <v>702</v>
      </c>
      <c r="B1050" s="400">
        <v>81065</v>
      </c>
      <c r="C1050" s="399">
        <v>81</v>
      </c>
      <c r="D1050" s="402" t="s">
        <v>1171</v>
      </c>
    </row>
    <row r="1051" spans="1:4">
      <c r="A1051" s="401" t="s">
        <v>1172</v>
      </c>
      <c r="B1051" s="400">
        <v>81220</v>
      </c>
      <c r="C1051" s="399">
        <v>81</v>
      </c>
      <c r="D1051" s="402" t="s">
        <v>1171</v>
      </c>
    </row>
    <row r="1052" spans="1:4">
      <c r="A1052" s="401" t="s">
        <v>703</v>
      </c>
      <c r="B1052" s="400">
        <v>81300</v>
      </c>
      <c r="C1052" s="399">
        <v>81</v>
      </c>
      <c r="D1052" s="402" t="s">
        <v>1171</v>
      </c>
    </row>
    <row r="1053" spans="1:4">
      <c r="A1053" s="401" t="s">
        <v>1173</v>
      </c>
      <c r="B1053" s="400">
        <v>81591</v>
      </c>
      <c r="C1053" s="399">
        <v>81</v>
      </c>
      <c r="D1053" s="402" t="s">
        <v>1171</v>
      </c>
    </row>
    <row r="1054" spans="1:4">
      <c r="A1054" s="401" t="s">
        <v>704</v>
      </c>
      <c r="B1054" s="400">
        <v>81736</v>
      </c>
      <c r="C1054" s="399">
        <v>81</v>
      </c>
      <c r="D1054" s="402" t="s">
        <v>1171</v>
      </c>
    </row>
    <row r="1055" spans="1:4">
      <c r="A1055" s="401" t="s">
        <v>705</v>
      </c>
      <c r="B1055" s="400">
        <v>81794</v>
      </c>
      <c r="C1055" s="399">
        <v>81</v>
      </c>
      <c r="D1055" s="402" t="s">
        <v>1171</v>
      </c>
    </row>
    <row r="1056" spans="1:4">
      <c r="A1056" s="401" t="s">
        <v>707</v>
      </c>
      <c r="B1056" s="400">
        <v>85001</v>
      </c>
      <c r="C1056" s="399">
        <v>85</v>
      </c>
      <c r="D1056" s="402" t="s">
        <v>1174</v>
      </c>
    </row>
    <row r="1057" spans="1:4">
      <c r="A1057" s="401" t="s">
        <v>708</v>
      </c>
      <c r="B1057" s="400">
        <v>85010</v>
      </c>
      <c r="C1057" s="399">
        <v>85</v>
      </c>
      <c r="D1057" s="402" t="s">
        <v>1174</v>
      </c>
    </row>
    <row r="1058" spans="1:4">
      <c r="A1058" s="401" t="s">
        <v>709</v>
      </c>
      <c r="B1058" s="400">
        <v>85015</v>
      </c>
      <c r="C1058" s="399">
        <v>85</v>
      </c>
      <c r="D1058" s="402" t="s">
        <v>1174</v>
      </c>
    </row>
    <row r="1059" spans="1:4">
      <c r="A1059" s="401" t="s">
        <v>1175</v>
      </c>
      <c r="B1059" s="400">
        <v>85125</v>
      </c>
      <c r="C1059" s="399">
        <v>85</v>
      </c>
      <c r="D1059" s="402" t="s">
        <v>1174</v>
      </c>
    </row>
    <row r="1060" spans="1:4">
      <c r="A1060" s="401" t="s">
        <v>1176</v>
      </c>
      <c r="B1060" s="400">
        <v>85136</v>
      </c>
      <c r="C1060" s="399">
        <v>85</v>
      </c>
      <c r="D1060" s="402" t="s">
        <v>1174</v>
      </c>
    </row>
    <row r="1061" spans="1:4">
      <c r="A1061" s="401" t="s">
        <v>710</v>
      </c>
      <c r="B1061" s="400">
        <v>85139</v>
      </c>
      <c r="C1061" s="399">
        <v>85</v>
      </c>
      <c r="D1061" s="402" t="s">
        <v>1174</v>
      </c>
    </row>
    <row r="1062" spans="1:4">
      <c r="A1062" s="401" t="s">
        <v>711</v>
      </c>
      <c r="B1062" s="400">
        <v>85162</v>
      </c>
      <c r="C1062" s="399">
        <v>85</v>
      </c>
      <c r="D1062" s="402" t="s">
        <v>1174</v>
      </c>
    </row>
    <row r="1063" spans="1:4">
      <c r="A1063" s="401" t="s">
        <v>1177</v>
      </c>
      <c r="B1063" s="400">
        <v>85225</v>
      </c>
      <c r="C1063" s="399">
        <v>85</v>
      </c>
      <c r="D1063" s="402" t="s">
        <v>1174</v>
      </c>
    </row>
    <row r="1064" spans="1:4">
      <c r="A1064" s="401" t="s">
        <v>1178</v>
      </c>
      <c r="B1064" s="400">
        <v>85230</v>
      </c>
      <c r="C1064" s="399">
        <v>85</v>
      </c>
      <c r="D1064" s="402" t="s">
        <v>1174</v>
      </c>
    </row>
    <row r="1065" spans="1:4">
      <c r="A1065" s="401" t="s">
        <v>712</v>
      </c>
      <c r="B1065" s="400">
        <v>85250</v>
      </c>
      <c r="C1065" s="399">
        <v>85</v>
      </c>
      <c r="D1065" s="402" t="s">
        <v>1174</v>
      </c>
    </row>
    <row r="1066" spans="1:4">
      <c r="A1066" s="401" t="s">
        <v>713</v>
      </c>
      <c r="B1066" s="400">
        <v>85263</v>
      </c>
      <c r="C1066" s="399">
        <v>85</v>
      </c>
      <c r="D1066" s="402" t="s">
        <v>1174</v>
      </c>
    </row>
    <row r="1067" spans="1:4">
      <c r="A1067" s="401" t="s">
        <v>1179</v>
      </c>
      <c r="B1067" s="400">
        <v>85279</v>
      </c>
      <c r="C1067" s="399">
        <v>85</v>
      </c>
      <c r="D1067" s="402" t="s">
        <v>1174</v>
      </c>
    </row>
    <row r="1068" spans="1:4">
      <c r="A1068" s="401" t="s">
        <v>789</v>
      </c>
      <c r="B1068" s="400">
        <v>85300</v>
      </c>
      <c r="C1068" s="399">
        <v>85</v>
      </c>
      <c r="D1068" s="402" t="s">
        <v>1174</v>
      </c>
    </row>
    <row r="1069" spans="1:4">
      <c r="A1069" s="401" t="s">
        <v>1180</v>
      </c>
      <c r="B1069" s="400">
        <v>85315</v>
      </c>
      <c r="C1069" s="399">
        <v>85</v>
      </c>
      <c r="D1069" s="402" t="s">
        <v>1174</v>
      </c>
    </row>
    <row r="1070" spans="1:4">
      <c r="A1070" s="401" t="s">
        <v>1181</v>
      </c>
      <c r="B1070" s="400">
        <v>85325</v>
      </c>
      <c r="C1070" s="399">
        <v>85</v>
      </c>
      <c r="D1070" s="402" t="s">
        <v>1174</v>
      </c>
    </row>
    <row r="1071" spans="1:4">
      <c r="A1071" s="401" t="s">
        <v>1182</v>
      </c>
      <c r="B1071" s="400">
        <v>85400</v>
      </c>
      <c r="C1071" s="399">
        <v>85</v>
      </c>
      <c r="D1071" s="402" t="s">
        <v>1174</v>
      </c>
    </row>
    <row r="1072" spans="1:4">
      <c r="A1072" s="401" t="s">
        <v>714</v>
      </c>
      <c r="B1072" s="400">
        <v>85410</v>
      </c>
      <c r="C1072" s="399">
        <v>85</v>
      </c>
      <c r="D1072" s="402" t="s">
        <v>1174</v>
      </c>
    </row>
    <row r="1073" spans="1:4">
      <c r="A1073" s="401" t="s">
        <v>715</v>
      </c>
      <c r="B1073" s="400">
        <v>85430</v>
      </c>
      <c r="C1073" s="399">
        <v>85</v>
      </c>
      <c r="D1073" s="402" t="s">
        <v>1174</v>
      </c>
    </row>
    <row r="1074" spans="1:4">
      <c r="A1074" s="401" t="s">
        <v>716</v>
      </c>
      <c r="B1074" s="400">
        <v>85440</v>
      </c>
      <c r="C1074" s="399">
        <v>85</v>
      </c>
      <c r="D1074" s="402" t="s">
        <v>1174</v>
      </c>
    </row>
    <row r="1075" spans="1:4">
      <c r="A1075" s="401" t="s">
        <v>718</v>
      </c>
      <c r="B1075" s="400">
        <v>86001</v>
      </c>
      <c r="C1075" s="399">
        <v>86</v>
      </c>
      <c r="D1075" s="402" t="s">
        <v>1183</v>
      </c>
    </row>
    <row r="1076" spans="1:4">
      <c r="A1076" s="401" t="s">
        <v>719</v>
      </c>
      <c r="B1076" s="400">
        <v>86219</v>
      </c>
      <c r="C1076" s="399">
        <v>86</v>
      </c>
      <c r="D1076" s="402" t="s">
        <v>1183</v>
      </c>
    </row>
    <row r="1077" spans="1:4">
      <c r="A1077" s="401" t="s">
        <v>721</v>
      </c>
      <c r="B1077" s="400">
        <v>86320</v>
      </c>
      <c r="C1077" s="399">
        <v>86</v>
      </c>
      <c r="D1077" s="402" t="s">
        <v>1183</v>
      </c>
    </row>
    <row r="1078" spans="1:4">
      <c r="A1078" s="401" t="s">
        <v>722</v>
      </c>
      <c r="B1078" s="400">
        <v>86568</v>
      </c>
      <c r="C1078" s="399">
        <v>86</v>
      </c>
      <c r="D1078" s="402" t="s">
        <v>1183</v>
      </c>
    </row>
    <row r="1079" spans="1:4">
      <c r="A1079" s="401" t="s">
        <v>723</v>
      </c>
      <c r="B1079" s="400">
        <v>86569</v>
      </c>
      <c r="C1079" s="399">
        <v>86</v>
      </c>
      <c r="D1079" s="402" t="s">
        <v>1183</v>
      </c>
    </row>
    <row r="1080" spans="1:4">
      <c r="A1080" s="401" t="s">
        <v>724</v>
      </c>
      <c r="B1080" s="400">
        <v>86571</v>
      </c>
      <c r="C1080" s="399">
        <v>86</v>
      </c>
      <c r="D1080" s="402" t="s">
        <v>1183</v>
      </c>
    </row>
    <row r="1081" spans="1:4">
      <c r="A1081" s="401" t="s">
        <v>720</v>
      </c>
      <c r="B1081" s="400">
        <v>86573</v>
      </c>
      <c r="C1081" s="399">
        <v>86</v>
      </c>
      <c r="D1081" s="402" t="s">
        <v>1183</v>
      </c>
    </row>
    <row r="1082" spans="1:4">
      <c r="A1082" s="401" t="s">
        <v>726</v>
      </c>
      <c r="B1082" s="400">
        <v>86749</v>
      </c>
      <c r="C1082" s="399">
        <v>86</v>
      </c>
      <c r="D1082" s="402" t="s">
        <v>1183</v>
      </c>
    </row>
    <row r="1083" spans="1:4">
      <c r="A1083" s="401" t="s">
        <v>791</v>
      </c>
      <c r="B1083" s="400">
        <v>86755</v>
      </c>
      <c r="C1083" s="399">
        <v>86</v>
      </c>
      <c r="D1083" s="402" t="s">
        <v>1183</v>
      </c>
    </row>
    <row r="1084" spans="1:4">
      <c r="A1084" s="401" t="s">
        <v>725</v>
      </c>
      <c r="B1084" s="400">
        <v>86757</v>
      </c>
      <c r="C1084" s="399">
        <v>86</v>
      </c>
      <c r="D1084" s="402" t="s">
        <v>1183</v>
      </c>
    </row>
    <row r="1085" spans="1:4">
      <c r="A1085" s="401" t="s">
        <v>1184</v>
      </c>
      <c r="B1085" s="400">
        <v>86760</v>
      </c>
      <c r="C1085" s="399">
        <v>86</v>
      </c>
      <c r="D1085" s="402" t="s">
        <v>1183</v>
      </c>
    </row>
    <row r="1086" spans="1:4">
      <c r="A1086" s="401" t="s">
        <v>727</v>
      </c>
      <c r="B1086" s="400">
        <v>86865</v>
      </c>
      <c r="C1086" s="399">
        <v>86</v>
      </c>
      <c r="D1086" s="402" t="s">
        <v>1183</v>
      </c>
    </row>
    <row r="1087" spans="1:4">
      <c r="A1087" s="401" t="s">
        <v>728</v>
      </c>
      <c r="B1087" s="400">
        <v>86885</v>
      </c>
      <c r="C1087" s="399">
        <v>86</v>
      </c>
      <c r="D1087" s="402" t="s">
        <v>1183</v>
      </c>
    </row>
    <row r="1088" spans="1:4">
      <c r="A1088" s="401" t="s">
        <v>731</v>
      </c>
      <c r="B1088" s="400">
        <v>88001</v>
      </c>
      <c r="C1088" s="399">
        <v>88</v>
      </c>
      <c r="D1088" s="402" t="s">
        <v>1137</v>
      </c>
    </row>
    <row r="1089" spans="1:4">
      <c r="A1089" s="401" t="s">
        <v>730</v>
      </c>
      <c r="B1089" s="400">
        <v>88564</v>
      </c>
      <c r="C1089" s="399">
        <v>88</v>
      </c>
      <c r="D1089" s="402" t="s">
        <v>1137</v>
      </c>
    </row>
    <row r="1090" spans="1:4">
      <c r="A1090" s="401" t="s">
        <v>733</v>
      </c>
      <c r="B1090" s="400">
        <v>91001</v>
      </c>
      <c r="C1090" s="399">
        <v>91</v>
      </c>
      <c r="D1090" s="402" t="s">
        <v>1185</v>
      </c>
    </row>
    <row r="1091" spans="1:4">
      <c r="A1091" s="401" t="s">
        <v>735</v>
      </c>
      <c r="B1091" s="400">
        <v>91263</v>
      </c>
      <c r="C1091" s="399">
        <v>91</v>
      </c>
      <c r="D1091" s="402" t="s">
        <v>1185</v>
      </c>
    </row>
    <row r="1092" spans="1:4">
      <c r="A1092" s="401" t="s">
        <v>734</v>
      </c>
      <c r="B1092" s="400">
        <v>91405</v>
      </c>
      <c r="C1092" s="399">
        <v>91</v>
      </c>
      <c r="D1092" s="402" t="s">
        <v>1185</v>
      </c>
    </row>
    <row r="1093" spans="1:4">
      <c r="A1093" s="401" t="s">
        <v>736</v>
      </c>
      <c r="B1093" s="400">
        <v>91407</v>
      </c>
      <c r="C1093" s="399">
        <v>91</v>
      </c>
      <c r="D1093" s="402" t="s">
        <v>1185</v>
      </c>
    </row>
    <row r="1094" spans="1:4">
      <c r="A1094" s="401" t="s">
        <v>1186</v>
      </c>
      <c r="B1094" s="400">
        <v>91430</v>
      </c>
      <c r="C1094" s="399">
        <v>91</v>
      </c>
      <c r="D1094" s="402" t="s">
        <v>1185</v>
      </c>
    </row>
    <row r="1095" spans="1:4">
      <c r="A1095" s="401" t="s">
        <v>1187</v>
      </c>
      <c r="B1095" s="400">
        <v>91460</v>
      </c>
      <c r="C1095" s="399">
        <v>91</v>
      </c>
      <c r="D1095" s="402" t="s">
        <v>1185</v>
      </c>
    </row>
    <row r="1096" spans="1:4">
      <c r="A1096" s="401" t="s">
        <v>737</v>
      </c>
      <c r="B1096" s="400">
        <v>91530</v>
      </c>
      <c r="C1096" s="399">
        <v>91</v>
      </c>
      <c r="D1096" s="402" t="s">
        <v>1185</v>
      </c>
    </row>
    <row r="1097" spans="1:4">
      <c r="A1097" s="401" t="s">
        <v>1188</v>
      </c>
      <c r="B1097" s="400">
        <v>91536</v>
      </c>
      <c r="C1097" s="399">
        <v>91</v>
      </c>
      <c r="D1097" s="402" t="s">
        <v>1185</v>
      </c>
    </row>
    <row r="1098" spans="1:4">
      <c r="A1098" s="401" t="s">
        <v>738</v>
      </c>
      <c r="B1098" s="400">
        <v>91540</v>
      </c>
      <c r="C1098" s="399">
        <v>91</v>
      </c>
      <c r="D1098" s="402" t="s">
        <v>1185</v>
      </c>
    </row>
    <row r="1099" spans="1:4">
      <c r="A1099" s="401" t="s">
        <v>739</v>
      </c>
      <c r="B1099" s="400">
        <v>91669</v>
      </c>
      <c r="C1099" s="399">
        <v>91</v>
      </c>
      <c r="D1099" s="402" t="s">
        <v>1185</v>
      </c>
    </row>
    <row r="1100" spans="1:4">
      <c r="A1100" s="401" t="s">
        <v>740</v>
      </c>
      <c r="B1100" s="400">
        <v>91798</v>
      </c>
      <c r="C1100" s="399">
        <v>91</v>
      </c>
      <c r="D1100" s="402" t="s">
        <v>1185</v>
      </c>
    </row>
    <row r="1101" spans="1:4">
      <c r="A1101" s="401" t="s">
        <v>742</v>
      </c>
      <c r="B1101" s="400">
        <v>94001</v>
      </c>
      <c r="C1101" s="399">
        <v>94</v>
      </c>
      <c r="D1101" s="402" t="s">
        <v>1189</v>
      </c>
    </row>
    <row r="1102" spans="1:4">
      <c r="A1102" s="401" t="s">
        <v>743</v>
      </c>
      <c r="B1102" s="400">
        <v>94343</v>
      </c>
      <c r="C1102" s="399">
        <v>94</v>
      </c>
      <c r="D1102" s="402" t="s">
        <v>1189</v>
      </c>
    </row>
    <row r="1103" spans="1:4">
      <c r="A1103" s="401" t="s">
        <v>1190</v>
      </c>
      <c r="B1103" s="400">
        <v>94663</v>
      </c>
      <c r="C1103" s="399">
        <v>94</v>
      </c>
      <c r="D1103" s="402" t="s">
        <v>1189</v>
      </c>
    </row>
    <row r="1104" spans="1:4">
      <c r="A1104" s="401" t="s">
        <v>1191</v>
      </c>
      <c r="B1104" s="400">
        <v>94883</v>
      </c>
      <c r="C1104" s="399">
        <v>94</v>
      </c>
      <c r="D1104" s="402" t="s">
        <v>1189</v>
      </c>
    </row>
    <row r="1105" spans="1:4">
      <c r="A1105" s="401" t="s">
        <v>1192</v>
      </c>
      <c r="B1105" s="400">
        <v>94884</v>
      </c>
      <c r="C1105" s="399">
        <v>94</v>
      </c>
      <c r="D1105" s="402" t="s">
        <v>1189</v>
      </c>
    </row>
    <row r="1106" spans="1:4">
      <c r="A1106" s="401" t="s">
        <v>1193</v>
      </c>
      <c r="B1106" s="400">
        <v>94885</v>
      </c>
      <c r="C1106" s="399">
        <v>94</v>
      </c>
      <c r="D1106" s="402" t="s">
        <v>1189</v>
      </c>
    </row>
    <row r="1107" spans="1:4">
      <c r="A1107" s="401" t="s">
        <v>1194</v>
      </c>
      <c r="B1107" s="400">
        <v>94886</v>
      </c>
      <c r="C1107" s="399">
        <v>94</v>
      </c>
      <c r="D1107" s="402" t="s">
        <v>1189</v>
      </c>
    </row>
    <row r="1108" spans="1:4">
      <c r="A1108" s="401" t="s">
        <v>1195</v>
      </c>
      <c r="B1108" s="400">
        <v>94887</v>
      </c>
      <c r="C1108" s="399">
        <v>94</v>
      </c>
      <c r="D1108" s="402" t="s">
        <v>1189</v>
      </c>
    </row>
    <row r="1109" spans="1:4">
      <c r="A1109" s="401" t="s">
        <v>1196</v>
      </c>
      <c r="B1109" s="400">
        <v>94888</v>
      </c>
      <c r="C1109" s="399">
        <v>94</v>
      </c>
      <c r="D1109" s="402" t="s">
        <v>1189</v>
      </c>
    </row>
    <row r="1110" spans="1:4">
      <c r="A1110" s="401" t="s">
        <v>745</v>
      </c>
      <c r="B1110" s="400">
        <v>95001</v>
      </c>
      <c r="C1110" s="399">
        <v>95</v>
      </c>
      <c r="D1110" s="402" t="s">
        <v>1197</v>
      </c>
    </row>
    <row r="1111" spans="1:4">
      <c r="A1111" s="401" t="s">
        <v>746</v>
      </c>
      <c r="B1111" s="400">
        <v>95015</v>
      </c>
      <c r="C1111" s="399">
        <v>95</v>
      </c>
      <c r="D1111" s="402" t="s">
        <v>1197</v>
      </c>
    </row>
    <row r="1112" spans="1:4">
      <c r="A1112" s="401" t="s">
        <v>747</v>
      </c>
      <c r="B1112" s="400">
        <v>95025</v>
      </c>
      <c r="C1112" s="399">
        <v>95</v>
      </c>
      <c r="D1112" s="402" t="s">
        <v>1197</v>
      </c>
    </row>
    <row r="1113" spans="1:4">
      <c r="A1113" s="401" t="s">
        <v>748</v>
      </c>
      <c r="B1113" s="400">
        <v>95200</v>
      </c>
      <c r="C1113" s="399">
        <v>95</v>
      </c>
      <c r="D1113" s="402" t="s">
        <v>1197</v>
      </c>
    </row>
    <row r="1114" spans="1:4">
      <c r="A1114" s="401" t="s">
        <v>750</v>
      </c>
      <c r="B1114" s="400">
        <v>97001</v>
      </c>
      <c r="C1114" s="399">
        <v>97</v>
      </c>
      <c r="D1114" s="402" t="s">
        <v>1198</v>
      </c>
    </row>
    <row r="1115" spans="1:4">
      <c r="A1115" s="401" t="s">
        <v>1199</v>
      </c>
      <c r="B1115" s="400">
        <v>97161</v>
      </c>
      <c r="C1115" s="399">
        <v>97</v>
      </c>
      <c r="D1115" s="402" t="s">
        <v>1198</v>
      </c>
    </row>
    <row r="1116" spans="1:4">
      <c r="A1116" s="401" t="s">
        <v>1200</v>
      </c>
      <c r="B1116" s="400">
        <v>97511</v>
      </c>
      <c r="C1116" s="399">
        <v>97</v>
      </c>
      <c r="D1116" s="402" t="s">
        <v>1198</v>
      </c>
    </row>
    <row r="1117" spans="1:4">
      <c r="A1117" s="401" t="s">
        <v>1201</v>
      </c>
      <c r="B1117" s="400">
        <v>97666</v>
      </c>
      <c r="C1117" s="399">
        <v>97</v>
      </c>
      <c r="D1117" s="402" t="s">
        <v>1198</v>
      </c>
    </row>
    <row r="1118" spans="1:4">
      <c r="A1118" s="401" t="s">
        <v>1202</v>
      </c>
      <c r="B1118" s="400">
        <v>97777</v>
      </c>
      <c r="C1118" s="399">
        <v>97</v>
      </c>
      <c r="D1118" s="402" t="s">
        <v>1198</v>
      </c>
    </row>
    <row r="1119" spans="1:4">
      <c r="A1119" s="401" t="s">
        <v>1203</v>
      </c>
      <c r="B1119" s="400">
        <v>97889</v>
      </c>
      <c r="C1119" s="399">
        <v>97</v>
      </c>
      <c r="D1119" s="402" t="s">
        <v>1198</v>
      </c>
    </row>
    <row r="1120" spans="1:4">
      <c r="A1120" s="401" t="s">
        <v>752</v>
      </c>
      <c r="B1120" s="400">
        <v>99001</v>
      </c>
      <c r="C1120" s="399">
        <v>99</v>
      </c>
      <c r="D1120" s="402" t="s">
        <v>1204</v>
      </c>
    </row>
    <row r="1121" spans="1:4">
      <c r="A1121" s="401" t="s">
        <v>1205</v>
      </c>
      <c r="B1121" s="400">
        <v>99524</v>
      </c>
      <c r="C1121" s="399">
        <v>99</v>
      </c>
      <c r="D1121" s="402" t="s">
        <v>1204</v>
      </c>
    </row>
    <row r="1122" spans="1:4">
      <c r="A1122" s="401" t="s">
        <v>1206</v>
      </c>
      <c r="B1122" s="400">
        <v>99624</v>
      </c>
      <c r="C1122" s="399">
        <v>99</v>
      </c>
      <c r="D1122" s="402" t="s">
        <v>1204</v>
      </c>
    </row>
    <row r="1123" spans="1:4" ht="15.75" thickBot="1">
      <c r="A1123" s="405" t="s">
        <v>753</v>
      </c>
      <c r="B1123" s="406">
        <v>99773</v>
      </c>
      <c r="C1123" s="407">
        <v>99</v>
      </c>
      <c r="D1123" s="408" t="s">
        <v>1204</v>
      </c>
    </row>
    <row r="1124" spans="1:4" ht="15.75" thickBot="1">
      <c r="A1124" s="28"/>
      <c r="B1124" s="28" t="s">
        <v>1208</v>
      </c>
      <c r="C1124" s="27" t="s">
        <v>1207</v>
      </c>
      <c r="D1124" s="28"/>
    </row>
  </sheetData>
  <sheetProtection password="CC59" sheet="1" objects="1" scenarios="1"/>
  <hyperlinks>
    <hyperlink ref="E1" location="'Hoja índice'!A1" display="Indice"/>
  </hyperlinks>
  <pageMargins left="0.7" right="0.7" top="0.75" bottom="0.75" header="0.3" footer="0.3"/>
</worksheet>
</file>

<file path=xl/worksheets/sheet11.xml><?xml version="1.0" encoding="utf-8"?>
<worksheet xmlns="http://schemas.openxmlformats.org/spreadsheetml/2006/main" xmlns:r="http://schemas.openxmlformats.org/officeDocument/2006/relationships">
  <sheetPr codeName="Hoja8">
    <tabColor theme="4"/>
  </sheetPr>
  <dimension ref="A1:G57"/>
  <sheetViews>
    <sheetView showGridLines="0" workbookViewId="0"/>
  </sheetViews>
  <sheetFormatPr baseColWidth="10" defaultRowHeight="15"/>
  <cols>
    <col min="1" max="7" width="15.42578125" customWidth="1"/>
  </cols>
  <sheetData>
    <row r="1" spans="1:7">
      <c r="A1" s="4" t="s">
        <v>2343</v>
      </c>
    </row>
    <row r="2" spans="1:7">
      <c r="A2" s="537" t="s">
        <v>1372</v>
      </c>
    </row>
    <row r="4" spans="1:7">
      <c r="A4" s="1294" t="s">
        <v>1373</v>
      </c>
      <c r="B4" s="1294"/>
      <c r="C4" s="1294"/>
      <c r="D4" s="1294"/>
      <c r="E4" s="1294"/>
      <c r="F4" s="1294"/>
      <c r="G4" s="1294"/>
    </row>
    <row r="5" spans="1:7">
      <c r="A5" s="622" t="s">
        <v>1374</v>
      </c>
      <c r="B5" s="622" t="s">
        <v>1375</v>
      </c>
      <c r="C5" s="622" t="s">
        <v>1376</v>
      </c>
      <c r="D5" s="622" t="s">
        <v>1377</v>
      </c>
      <c r="E5" s="622" t="s">
        <v>1378</v>
      </c>
      <c r="F5" s="622" t="s">
        <v>1379</v>
      </c>
      <c r="G5" s="622" t="s">
        <v>1380</v>
      </c>
    </row>
    <row r="6" spans="1:7">
      <c r="A6" s="20" t="s">
        <v>1381</v>
      </c>
      <c r="B6" s="20" t="s">
        <v>1382</v>
      </c>
      <c r="C6" s="20" t="s">
        <v>1383</v>
      </c>
      <c r="D6" s="20">
        <v>200</v>
      </c>
      <c r="E6" s="20">
        <v>6</v>
      </c>
      <c r="F6" s="538">
        <v>5750</v>
      </c>
      <c r="G6" s="538">
        <f t="shared" ref="G6:G8" si="0">F6/E6</f>
        <v>958.33333333333337</v>
      </c>
    </row>
    <row r="7" spans="1:7">
      <c r="A7" s="20" t="s">
        <v>1384</v>
      </c>
      <c r="B7" s="20" t="s">
        <v>1385</v>
      </c>
      <c r="C7" s="20" t="s">
        <v>1386</v>
      </c>
      <c r="D7" s="20">
        <v>200</v>
      </c>
      <c r="E7" s="20">
        <v>6</v>
      </c>
      <c r="F7" s="538">
        <v>5700</v>
      </c>
      <c r="G7" s="538">
        <f t="shared" si="0"/>
        <v>950</v>
      </c>
    </row>
    <row r="8" spans="1:7">
      <c r="A8" s="20" t="s">
        <v>1387</v>
      </c>
      <c r="B8" s="20" t="s">
        <v>1385</v>
      </c>
      <c r="C8" s="20" t="s">
        <v>1386</v>
      </c>
      <c r="D8" s="20">
        <v>200</v>
      </c>
      <c r="E8" s="20">
        <v>6</v>
      </c>
      <c r="F8" s="538">
        <v>4500</v>
      </c>
      <c r="G8" s="538">
        <f t="shared" si="0"/>
        <v>750</v>
      </c>
    </row>
    <row r="10" spans="1:7">
      <c r="A10" s="1294" t="s">
        <v>1388</v>
      </c>
      <c r="B10" s="1294"/>
      <c r="C10" s="1294"/>
      <c r="D10" s="1294"/>
      <c r="E10" s="1294"/>
      <c r="F10" s="1294"/>
      <c r="G10" s="1294"/>
    </row>
    <row r="11" spans="1:7">
      <c r="A11" s="622" t="s">
        <v>1374</v>
      </c>
      <c r="B11" s="622" t="s">
        <v>1375</v>
      </c>
      <c r="C11" s="622" t="s">
        <v>1376</v>
      </c>
      <c r="D11" s="622" t="s">
        <v>1389</v>
      </c>
      <c r="E11" s="622" t="s">
        <v>1378</v>
      </c>
      <c r="F11" s="622" t="s">
        <v>1379</v>
      </c>
      <c r="G11" s="622" t="s">
        <v>1380</v>
      </c>
    </row>
    <row r="12" spans="1:7">
      <c r="A12" s="20" t="s">
        <v>1390</v>
      </c>
      <c r="B12" s="20" t="s">
        <v>1391</v>
      </c>
      <c r="C12" s="20" t="s">
        <v>1392</v>
      </c>
      <c r="D12" s="20">
        <v>34.5</v>
      </c>
      <c r="E12" s="20">
        <v>12</v>
      </c>
      <c r="F12" s="538">
        <v>6200</v>
      </c>
      <c r="G12" s="538">
        <f>F12/E12</f>
        <v>516.66666666666663</v>
      </c>
    </row>
    <row r="13" spans="1:7">
      <c r="A13" s="20" t="s">
        <v>1390</v>
      </c>
      <c r="B13" s="20" t="s">
        <v>1391</v>
      </c>
      <c r="C13" s="20" t="s">
        <v>1392</v>
      </c>
      <c r="D13" s="20">
        <v>34.5</v>
      </c>
      <c r="E13" s="20">
        <v>12</v>
      </c>
      <c r="F13" s="538">
        <v>6500</v>
      </c>
      <c r="G13" s="538">
        <f>F13/E13</f>
        <v>541.66666666666663</v>
      </c>
    </row>
    <row r="14" spans="1:7">
      <c r="A14" s="20" t="s">
        <v>1390</v>
      </c>
      <c r="B14" s="20" t="s">
        <v>1393</v>
      </c>
      <c r="C14" s="20" t="s">
        <v>1392</v>
      </c>
      <c r="D14" s="20">
        <v>21</v>
      </c>
      <c r="E14" s="20">
        <v>9</v>
      </c>
      <c r="F14" s="538">
        <v>4550</v>
      </c>
      <c r="G14" s="538">
        <f>F14/E14</f>
        <v>505.55555555555554</v>
      </c>
    </row>
    <row r="16" spans="1:7">
      <c r="A16" s="537" t="s">
        <v>1411</v>
      </c>
    </row>
    <row r="18" spans="1:7">
      <c r="A18" s="1294" t="s">
        <v>1373</v>
      </c>
      <c r="B18" s="1294"/>
      <c r="C18" s="1294"/>
      <c r="D18" s="1294"/>
      <c r="E18" s="1294"/>
      <c r="F18" s="1294"/>
      <c r="G18" s="1294"/>
    </row>
    <row r="19" spans="1:7">
      <c r="A19" s="622" t="s">
        <v>1374</v>
      </c>
      <c r="B19" s="622" t="s">
        <v>1375</v>
      </c>
      <c r="C19" s="622" t="s">
        <v>1376</v>
      </c>
      <c r="D19" s="622" t="s">
        <v>1377</v>
      </c>
      <c r="E19" s="622" t="s">
        <v>1378</v>
      </c>
      <c r="F19" s="622" t="s">
        <v>1379</v>
      </c>
      <c r="G19" s="622" t="s">
        <v>1380</v>
      </c>
    </row>
    <row r="20" spans="1:7">
      <c r="A20" s="20" t="s">
        <v>1381</v>
      </c>
      <c r="B20" s="20" t="s">
        <v>1382</v>
      </c>
      <c r="C20" s="20" t="s">
        <v>1383</v>
      </c>
      <c r="D20" s="20">
        <v>200</v>
      </c>
      <c r="E20" s="20">
        <v>6</v>
      </c>
      <c r="F20" s="538">
        <v>5860</v>
      </c>
      <c r="G20" s="538">
        <f t="shared" ref="G20:G30" si="1">F20/E20</f>
        <v>976.66666666666663</v>
      </c>
    </row>
    <row r="21" spans="1:7">
      <c r="A21" s="20" t="s">
        <v>1387</v>
      </c>
      <c r="B21" s="20" t="s">
        <v>1394</v>
      </c>
      <c r="C21" s="20" t="s">
        <v>1386</v>
      </c>
      <c r="D21" s="20">
        <v>200</v>
      </c>
      <c r="E21" s="20">
        <v>6</v>
      </c>
      <c r="F21" s="538">
        <f>990*6</f>
        <v>5940</v>
      </c>
      <c r="G21" s="538">
        <f t="shared" si="1"/>
        <v>990</v>
      </c>
    </row>
    <row r="22" spans="1:7">
      <c r="A22" s="20" t="s">
        <v>1387</v>
      </c>
      <c r="B22" s="20" t="s">
        <v>1395</v>
      </c>
      <c r="C22" s="20" t="s">
        <v>1386</v>
      </c>
      <c r="D22" s="20">
        <v>200</v>
      </c>
      <c r="E22" s="20">
        <v>6</v>
      </c>
      <c r="F22" s="20">
        <f>950*6</f>
        <v>5700</v>
      </c>
      <c r="G22" s="538">
        <f t="shared" si="1"/>
        <v>950</v>
      </c>
    </row>
    <row r="23" spans="1:7">
      <c r="A23" s="20" t="s">
        <v>1387</v>
      </c>
      <c r="B23" s="20" t="s">
        <v>1396</v>
      </c>
      <c r="C23" s="20" t="s">
        <v>1386</v>
      </c>
      <c r="D23" s="20">
        <v>200</v>
      </c>
      <c r="E23" s="20">
        <v>6</v>
      </c>
      <c r="F23" s="538">
        <v>5150</v>
      </c>
      <c r="G23" s="538">
        <f t="shared" si="1"/>
        <v>858.33333333333337</v>
      </c>
    </row>
    <row r="24" spans="1:7">
      <c r="A24" s="20" t="s">
        <v>1387</v>
      </c>
      <c r="B24" s="20" t="s">
        <v>1397</v>
      </c>
      <c r="C24" s="20" t="s">
        <v>1383</v>
      </c>
      <c r="D24" s="20">
        <v>200</v>
      </c>
      <c r="E24" s="20">
        <v>6</v>
      </c>
      <c r="F24" s="538">
        <v>3340</v>
      </c>
      <c r="G24" s="538">
        <f t="shared" si="1"/>
        <v>556.66666666666663</v>
      </c>
    </row>
    <row r="25" spans="1:7">
      <c r="A25" s="20" t="s">
        <v>1387</v>
      </c>
      <c r="B25" s="20" t="s">
        <v>1398</v>
      </c>
      <c r="C25" s="20" t="s">
        <v>1386</v>
      </c>
      <c r="D25" s="20">
        <v>200</v>
      </c>
      <c r="E25" s="20">
        <v>6</v>
      </c>
      <c r="F25" s="538">
        <v>4790</v>
      </c>
      <c r="G25" s="538">
        <f t="shared" si="1"/>
        <v>798.33333333333337</v>
      </c>
    </row>
    <row r="26" spans="1:7">
      <c r="A26" s="20" t="s">
        <v>1399</v>
      </c>
      <c r="B26" s="20" t="s">
        <v>1382</v>
      </c>
      <c r="C26" s="20" t="s">
        <v>1400</v>
      </c>
      <c r="D26" s="20">
        <v>154</v>
      </c>
      <c r="E26" s="20">
        <v>4</v>
      </c>
      <c r="F26" s="538">
        <v>2600</v>
      </c>
      <c r="G26" s="539">
        <f t="shared" si="1"/>
        <v>650</v>
      </c>
    </row>
    <row r="27" spans="1:7">
      <c r="A27" s="20" t="s">
        <v>1401</v>
      </c>
      <c r="B27" s="20" t="s">
        <v>1382</v>
      </c>
      <c r="C27" s="20" t="s">
        <v>1400</v>
      </c>
      <c r="D27" s="20">
        <v>120</v>
      </c>
      <c r="E27" s="20">
        <v>4</v>
      </c>
      <c r="F27" s="538">
        <v>3000</v>
      </c>
      <c r="G27" s="539">
        <f t="shared" si="1"/>
        <v>750</v>
      </c>
    </row>
    <row r="28" spans="1:7">
      <c r="A28" s="20" t="s">
        <v>1402</v>
      </c>
      <c r="B28" s="20" t="s">
        <v>1394</v>
      </c>
      <c r="C28" s="20" t="s">
        <v>1383</v>
      </c>
      <c r="D28" s="20">
        <v>200</v>
      </c>
      <c r="E28" s="20">
        <v>3</v>
      </c>
      <c r="F28" s="538">
        <v>2870</v>
      </c>
      <c r="G28" s="539">
        <f t="shared" si="1"/>
        <v>956.66666666666663</v>
      </c>
    </row>
    <row r="29" spans="1:7">
      <c r="A29" s="20" t="s">
        <v>1403</v>
      </c>
      <c r="B29" s="20" t="s">
        <v>1404</v>
      </c>
      <c r="C29" s="20" t="s">
        <v>1383</v>
      </c>
      <c r="D29" s="20">
        <v>200</v>
      </c>
      <c r="E29" s="20">
        <v>4</v>
      </c>
      <c r="F29" s="538">
        <v>3850</v>
      </c>
      <c r="G29" s="538">
        <f t="shared" si="1"/>
        <v>962.5</v>
      </c>
    </row>
    <row r="30" spans="1:7">
      <c r="A30" s="20" t="s">
        <v>1403</v>
      </c>
      <c r="B30" s="20" t="s">
        <v>1382</v>
      </c>
      <c r="C30" s="20" t="s">
        <v>1383</v>
      </c>
      <c r="D30" s="20">
        <v>200</v>
      </c>
      <c r="E30" s="20">
        <v>6</v>
      </c>
      <c r="F30" s="538">
        <v>5370</v>
      </c>
      <c r="G30" s="538">
        <f t="shared" si="1"/>
        <v>895</v>
      </c>
    </row>
    <row r="32" spans="1:7">
      <c r="A32" s="1294" t="s">
        <v>1388</v>
      </c>
      <c r="B32" s="1294"/>
      <c r="C32" s="1294"/>
      <c r="D32" s="1294"/>
      <c r="E32" s="1294"/>
      <c r="F32" s="1294"/>
      <c r="G32" s="1294"/>
    </row>
    <row r="33" spans="1:7">
      <c r="A33" s="622" t="s">
        <v>1374</v>
      </c>
      <c r="B33" s="622" t="s">
        <v>1375</v>
      </c>
      <c r="C33" s="622" t="s">
        <v>1376</v>
      </c>
      <c r="D33" s="622" t="s">
        <v>1389</v>
      </c>
      <c r="E33" s="622" t="s">
        <v>1378</v>
      </c>
      <c r="F33" s="622" t="s">
        <v>1379</v>
      </c>
      <c r="G33" s="622" t="s">
        <v>1380</v>
      </c>
    </row>
    <row r="34" spans="1:7">
      <c r="A34" s="20" t="s">
        <v>1390</v>
      </c>
      <c r="B34" s="20" t="s">
        <v>1391</v>
      </c>
      <c r="C34" s="20" t="s">
        <v>1392</v>
      </c>
      <c r="D34" s="20">
        <v>34.5</v>
      </c>
      <c r="E34" s="20">
        <v>12</v>
      </c>
      <c r="F34" s="538">
        <v>8390</v>
      </c>
      <c r="G34" s="538">
        <f t="shared" ref="G34:G41" si="2">F34/E34</f>
        <v>699.16666666666663</v>
      </c>
    </row>
    <row r="35" spans="1:7">
      <c r="A35" s="20" t="s">
        <v>1390</v>
      </c>
      <c r="B35" s="20" t="s">
        <v>1405</v>
      </c>
      <c r="C35" s="20" t="s">
        <v>1406</v>
      </c>
      <c r="D35" s="20">
        <v>25</v>
      </c>
      <c r="E35" s="20">
        <v>18</v>
      </c>
      <c r="F35" s="538">
        <v>2010</v>
      </c>
      <c r="G35" s="538">
        <f t="shared" si="2"/>
        <v>111.66666666666667</v>
      </c>
    </row>
    <row r="36" spans="1:7">
      <c r="A36" s="20" t="s">
        <v>1390</v>
      </c>
      <c r="B36" s="20" t="s">
        <v>1407</v>
      </c>
      <c r="C36" s="20" t="s">
        <v>1392</v>
      </c>
      <c r="D36" s="20">
        <v>25</v>
      </c>
      <c r="E36" s="20">
        <v>21</v>
      </c>
      <c r="F36" s="538">
        <v>2350</v>
      </c>
      <c r="G36" s="538">
        <f t="shared" si="2"/>
        <v>111.9047619047619</v>
      </c>
    </row>
    <row r="37" spans="1:7">
      <c r="A37" s="20" t="s">
        <v>1390</v>
      </c>
      <c r="B37" s="20" t="s">
        <v>1393</v>
      </c>
      <c r="C37" s="20" t="s">
        <v>1392</v>
      </c>
      <c r="D37" s="20">
        <v>21</v>
      </c>
      <c r="E37" s="20">
        <v>9</v>
      </c>
      <c r="F37" s="538">
        <v>3550</v>
      </c>
      <c r="G37" s="538">
        <f t="shared" si="2"/>
        <v>394.44444444444446</v>
      </c>
    </row>
    <row r="38" spans="1:7">
      <c r="A38" s="20" t="s">
        <v>1390</v>
      </c>
      <c r="B38" s="20" t="s">
        <v>1408</v>
      </c>
      <c r="C38" s="20" t="s">
        <v>1392</v>
      </c>
      <c r="D38" s="20">
        <v>12</v>
      </c>
      <c r="E38" s="20">
        <v>15</v>
      </c>
      <c r="F38" s="538">
        <v>3890</v>
      </c>
      <c r="G38" s="538">
        <f t="shared" si="2"/>
        <v>259.33333333333331</v>
      </c>
    </row>
    <row r="39" spans="1:7">
      <c r="A39" s="20" t="s">
        <v>1390</v>
      </c>
      <c r="B39" s="20" t="s">
        <v>1409</v>
      </c>
      <c r="C39" s="20" t="s">
        <v>1392</v>
      </c>
      <c r="D39" s="20">
        <v>12</v>
      </c>
      <c r="E39" s="20">
        <v>15</v>
      </c>
      <c r="F39" s="538">
        <v>5770</v>
      </c>
      <c r="G39" s="538">
        <f t="shared" si="2"/>
        <v>384.66666666666669</v>
      </c>
    </row>
    <row r="40" spans="1:7">
      <c r="A40" s="20" t="s">
        <v>1390</v>
      </c>
      <c r="B40" s="20" t="s">
        <v>1409</v>
      </c>
      <c r="C40" s="20" t="s">
        <v>1406</v>
      </c>
      <c r="D40" s="20">
        <v>12</v>
      </c>
      <c r="E40" s="20">
        <v>12</v>
      </c>
      <c r="F40" s="538">
        <v>4270</v>
      </c>
      <c r="G40" s="538">
        <f t="shared" si="2"/>
        <v>355.83333333333331</v>
      </c>
    </row>
    <row r="41" spans="1:7">
      <c r="A41" s="20" t="s">
        <v>1390</v>
      </c>
      <c r="B41" s="20" t="s">
        <v>1410</v>
      </c>
      <c r="C41" s="20" t="s">
        <v>1406</v>
      </c>
      <c r="D41" s="20">
        <v>12</v>
      </c>
      <c r="E41" s="20">
        <v>9</v>
      </c>
      <c r="F41" s="538">
        <v>3450</v>
      </c>
      <c r="G41" s="538">
        <f t="shared" si="2"/>
        <v>383.33333333333331</v>
      </c>
    </row>
    <row r="44" spans="1:7">
      <c r="A44" s="1294" t="s">
        <v>1416</v>
      </c>
      <c r="B44" s="1294"/>
      <c r="C44" s="1294"/>
      <c r="D44" s="1294"/>
    </row>
    <row r="45" spans="1:7">
      <c r="A45" s="622" t="s">
        <v>1374</v>
      </c>
      <c r="B45" s="622" t="s">
        <v>1412</v>
      </c>
      <c r="C45" s="622" t="s">
        <v>1413</v>
      </c>
      <c r="D45" s="622" t="s">
        <v>1414</v>
      </c>
    </row>
    <row r="46" spans="1:7">
      <c r="A46" s="20" t="s">
        <v>1381</v>
      </c>
      <c r="B46" s="540">
        <f>+G6</f>
        <v>958.33333333333337</v>
      </c>
      <c r="C46" s="540">
        <f>+G20</f>
        <v>976.66666666666663</v>
      </c>
      <c r="D46" s="538">
        <f t="shared" ref="D46:D51" si="3">AVERAGE(B46:C46)</f>
        <v>967.5</v>
      </c>
    </row>
    <row r="47" spans="1:7">
      <c r="A47" s="20" t="s">
        <v>1387</v>
      </c>
      <c r="B47" s="538">
        <f>+G8</f>
        <v>750</v>
      </c>
      <c r="C47" s="538">
        <f>+G25</f>
        <v>798.33333333333337</v>
      </c>
      <c r="D47" s="538">
        <f t="shared" si="3"/>
        <v>774.16666666666674</v>
      </c>
    </row>
    <row r="48" spans="1:7">
      <c r="A48" s="20" t="s">
        <v>1399</v>
      </c>
      <c r="B48" s="538"/>
      <c r="C48" s="538">
        <f>+G26</f>
        <v>650</v>
      </c>
      <c r="D48" s="538">
        <f t="shared" si="3"/>
        <v>650</v>
      </c>
    </row>
    <row r="49" spans="1:4">
      <c r="A49" s="20" t="s">
        <v>1401</v>
      </c>
      <c r="B49" s="538"/>
      <c r="C49" s="538">
        <f>+G27</f>
        <v>750</v>
      </c>
      <c r="D49" s="538">
        <f t="shared" si="3"/>
        <v>750</v>
      </c>
    </row>
    <row r="50" spans="1:4">
      <c r="A50" s="20" t="s">
        <v>1402</v>
      </c>
      <c r="B50" s="538"/>
      <c r="C50" s="538">
        <f>+G28</f>
        <v>956.66666666666663</v>
      </c>
      <c r="D50" s="538">
        <f t="shared" si="3"/>
        <v>956.66666666666663</v>
      </c>
    </row>
    <row r="51" spans="1:4">
      <c r="A51" s="20" t="s">
        <v>1403</v>
      </c>
      <c r="B51" s="538"/>
      <c r="C51" s="538">
        <f>+G30</f>
        <v>895</v>
      </c>
      <c r="D51" s="538">
        <f t="shared" si="3"/>
        <v>895</v>
      </c>
    </row>
    <row r="52" spans="1:4">
      <c r="A52" s="541"/>
      <c r="B52" s="542"/>
      <c r="C52" s="542"/>
      <c r="D52" s="538">
        <f>GEOMEAN(D46:D51)</f>
        <v>823.83572935045856</v>
      </c>
    </row>
    <row r="54" spans="1:4">
      <c r="A54" s="1294" t="s">
        <v>1388</v>
      </c>
      <c r="B54" s="1294"/>
      <c r="C54" s="1294"/>
      <c r="D54" s="1294"/>
    </row>
    <row r="55" spans="1:4">
      <c r="A55" s="622" t="s">
        <v>1374</v>
      </c>
      <c r="B55" s="622" t="s">
        <v>1412</v>
      </c>
      <c r="C55" s="622" t="s">
        <v>1413</v>
      </c>
      <c r="D55" s="622" t="s">
        <v>1414</v>
      </c>
    </row>
    <row r="56" spans="1:4">
      <c r="A56" s="543" t="s">
        <v>1390</v>
      </c>
      <c r="B56" s="544">
        <f>+GEOMEAN(G12:G14)</f>
        <v>521.07929123816507</v>
      </c>
      <c r="C56" s="538">
        <f>+GEOMEAN(G34:G41)</f>
        <v>287.66571129452234</v>
      </c>
      <c r="D56" s="538">
        <f>+AVERAGE(B56:C56)</f>
        <v>404.3725012663437</v>
      </c>
    </row>
    <row r="57" spans="1:4" ht="37.5">
      <c r="C57" s="623" t="s">
        <v>1415</v>
      </c>
      <c r="D57" s="624">
        <f>+(D56+D52)*'Parametros Generales'!$C$29</f>
        <v>1228.2082306168022</v>
      </c>
    </row>
  </sheetData>
  <sheetProtection password="CC59" sheet="1" objects="1" scenarios="1"/>
  <mergeCells count="6">
    <mergeCell ref="A54:D54"/>
    <mergeCell ref="A4:G4"/>
    <mergeCell ref="A10:G10"/>
    <mergeCell ref="A18:G18"/>
    <mergeCell ref="A32:G32"/>
    <mergeCell ref="A44:D44"/>
  </mergeCells>
  <hyperlinks>
    <hyperlink ref="A1" location="'Hoja índice'!A1" display="Indice"/>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sheetPr codeName="Hoja9">
    <tabColor theme="4"/>
  </sheetPr>
  <dimension ref="B1:J154"/>
  <sheetViews>
    <sheetView showGridLines="0" zoomScale="85" zoomScaleNormal="85" workbookViewId="0">
      <selection activeCell="B1" sqref="B1"/>
    </sheetView>
  </sheetViews>
  <sheetFormatPr baseColWidth="10" defaultRowHeight="12.75"/>
  <cols>
    <col min="1" max="1" width="3.85546875" style="568" customWidth="1"/>
    <col min="2" max="2" width="39" style="568" customWidth="1"/>
    <col min="3" max="3" width="11.42578125" style="568"/>
    <col min="4" max="4" width="18.28515625" style="568" customWidth="1"/>
    <col min="5" max="5" width="14.42578125" style="568" customWidth="1"/>
    <col min="6" max="6" width="18.7109375" style="568" customWidth="1"/>
    <col min="7" max="7" width="17.5703125" style="568" customWidth="1"/>
    <col min="8" max="8" width="11.42578125" style="568" customWidth="1"/>
    <col min="9" max="9" width="19.140625" style="568" customWidth="1"/>
    <col min="10" max="16384" width="11.42578125" style="568"/>
  </cols>
  <sheetData>
    <row r="1" spans="2:9" ht="15">
      <c r="B1" s="4" t="s">
        <v>2343</v>
      </c>
      <c r="C1" s="545"/>
      <c r="D1" s="545"/>
      <c r="E1" s="545"/>
      <c r="F1" s="545"/>
      <c r="G1" s="545"/>
      <c r="H1" s="545"/>
      <c r="I1" s="545"/>
    </row>
    <row r="2" spans="2:9" ht="13.5" thickBot="1">
      <c r="B2" s="546"/>
      <c r="C2" s="547"/>
      <c r="D2" s="547"/>
      <c r="E2" s="548"/>
      <c r="F2" s="548"/>
      <c r="G2" s="548"/>
      <c r="H2" s="548"/>
      <c r="I2" s="549"/>
    </row>
    <row r="3" spans="2:9">
      <c r="B3" s="590"/>
      <c r="C3" s="591"/>
      <c r="D3" s="591"/>
      <c r="E3" s="592"/>
      <c r="F3" s="592"/>
      <c r="G3" s="593"/>
      <c r="H3" s="594"/>
      <c r="I3" s="595"/>
    </row>
    <row r="4" spans="2:9">
      <c r="B4" s="596"/>
      <c r="C4" s="597"/>
      <c r="D4" s="597"/>
      <c r="E4" s="597"/>
      <c r="F4" s="597"/>
      <c r="G4" s="598"/>
      <c r="H4" s="598"/>
      <c r="I4" s="599"/>
    </row>
    <row r="5" spans="2:9">
      <c r="B5" s="596"/>
      <c r="C5" s="597"/>
      <c r="D5" s="597"/>
      <c r="E5" s="597"/>
      <c r="F5" s="597"/>
      <c r="G5" s="597"/>
      <c r="H5" s="600"/>
      <c r="I5" s="599"/>
    </row>
    <row r="6" spans="2:9">
      <c r="B6" s="596"/>
      <c r="C6" s="597"/>
      <c r="D6" s="597"/>
      <c r="E6" s="597"/>
      <c r="F6" s="597"/>
      <c r="G6" s="597"/>
      <c r="H6" s="600"/>
      <c r="I6" s="599"/>
    </row>
    <row r="7" spans="2:9">
      <c r="B7" s="596"/>
      <c r="C7" s="545"/>
      <c r="D7" s="545"/>
      <c r="E7" s="545"/>
      <c r="F7" s="545"/>
      <c r="G7" s="545"/>
      <c r="H7" s="545"/>
      <c r="I7" s="561"/>
    </row>
    <row r="8" spans="2:9">
      <c r="B8" s="596"/>
      <c r="C8" s="545"/>
      <c r="D8" s="545"/>
      <c r="E8" s="545"/>
      <c r="F8" s="545"/>
      <c r="G8" s="545"/>
      <c r="H8" s="545"/>
      <c r="I8" s="561"/>
    </row>
    <row r="9" spans="2:9" ht="13.5" thickBot="1">
      <c r="B9" s="601"/>
      <c r="C9" s="563"/>
      <c r="D9" s="563"/>
      <c r="E9" s="563"/>
      <c r="F9" s="563"/>
      <c r="G9" s="563"/>
      <c r="H9" s="563"/>
      <c r="I9" s="564"/>
    </row>
    <row r="10" spans="2:9">
      <c r="B10" s="1299" t="s">
        <v>1417</v>
      </c>
      <c r="C10" s="1300"/>
      <c r="D10" s="1300"/>
      <c r="E10" s="1300"/>
      <c r="F10" s="1300"/>
      <c r="G10" s="1300"/>
      <c r="H10" s="1300"/>
      <c r="I10" s="1301"/>
    </row>
    <row r="11" spans="2:9">
      <c r="B11" s="1302"/>
      <c r="C11" s="1303"/>
      <c r="D11" s="1303"/>
      <c r="E11" s="1303"/>
      <c r="F11" s="1303"/>
      <c r="G11" s="1303"/>
      <c r="H11" s="1303"/>
      <c r="I11" s="1304"/>
    </row>
    <row r="12" spans="2:9">
      <c r="B12" s="1295" t="s">
        <v>1418</v>
      </c>
      <c r="C12" s="1296"/>
      <c r="D12" s="1296"/>
      <c r="E12" s="1296"/>
      <c r="F12" s="1296" t="s">
        <v>1419</v>
      </c>
      <c r="G12" s="1296"/>
      <c r="H12" s="1297" t="s">
        <v>1420</v>
      </c>
      <c r="I12" s="1298"/>
    </row>
    <row r="13" spans="2:9">
      <c r="B13" s="1305" t="s">
        <v>1421</v>
      </c>
      <c r="C13" s="1306"/>
      <c r="D13" s="1306"/>
      <c r="E13" s="1306"/>
      <c r="F13" s="1296" t="s">
        <v>1422</v>
      </c>
      <c r="G13" s="1296"/>
      <c r="H13" s="1307" t="s">
        <v>1423</v>
      </c>
      <c r="I13" s="1308"/>
    </row>
    <row r="14" spans="2:9">
      <c r="B14" s="602"/>
      <c r="C14" s="603"/>
      <c r="D14" s="603"/>
      <c r="E14" s="603"/>
      <c r="F14" s="604"/>
      <c r="G14" s="604"/>
      <c r="H14" s="605"/>
      <c r="I14" s="606"/>
    </row>
    <row r="15" spans="2:9">
      <c r="B15" s="582" t="s">
        <v>1510</v>
      </c>
      <c r="C15" s="545"/>
      <c r="D15" s="545"/>
      <c r="E15" s="545"/>
      <c r="F15" s="545"/>
      <c r="G15" s="545"/>
      <c r="H15" s="545"/>
      <c r="I15" s="561"/>
    </row>
    <row r="16" spans="2:9">
      <c r="B16" s="582" t="s">
        <v>1511</v>
      </c>
      <c r="C16" s="545"/>
      <c r="D16" s="545"/>
      <c r="E16" s="545"/>
      <c r="F16" s="545"/>
      <c r="G16" s="545"/>
      <c r="H16" s="545"/>
      <c r="I16" s="561"/>
    </row>
    <row r="17" spans="2:10">
      <c r="B17" s="586"/>
      <c r="C17" s="587"/>
      <c r="D17" s="587"/>
      <c r="E17" s="587"/>
      <c r="F17" s="587"/>
      <c r="G17" s="587"/>
      <c r="H17" s="587"/>
      <c r="I17" s="607"/>
      <c r="J17" s="608"/>
    </row>
    <row r="18" spans="2:10" ht="25.5">
      <c r="B18" s="565" t="s">
        <v>1424</v>
      </c>
      <c r="C18" s="566" t="s">
        <v>1425</v>
      </c>
      <c r="D18" s="566" t="s">
        <v>1426</v>
      </c>
      <c r="E18" s="566" t="s">
        <v>1427</v>
      </c>
      <c r="F18" s="566" t="s">
        <v>1428</v>
      </c>
      <c r="G18" s="566" t="s">
        <v>1429</v>
      </c>
      <c r="H18" s="566" t="s">
        <v>1430</v>
      </c>
      <c r="I18" s="567" t="s">
        <v>1431</v>
      </c>
    </row>
    <row r="19" spans="2:10">
      <c r="B19" s="609" t="s">
        <v>1432</v>
      </c>
      <c r="C19" s="569">
        <v>1</v>
      </c>
      <c r="D19" s="570">
        <v>2500</v>
      </c>
      <c r="E19" s="610">
        <v>0.16</v>
      </c>
      <c r="F19" s="571">
        <f t="shared" ref="F19:F39" si="0">ROUND((E19+D19),0)</f>
        <v>2500</v>
      </c>
      <c r="G19" s="572">
        <f t="shared" ref="G19:G39" si="1">ROUND(D19*C19,0)</f>
        <v>2500</v>
      </c>
      <c r="H19" s="572">
        <f t="shared" ref="H19:H39" si="2">ROUND(G19*16%,0)</f>
        <v>400</v>
      </c>
      <c r="I19" s="573">
        <f t="shared" ref="I19:I39" si="3">ROUND(G19+H19,0)</f>
        <v>2900</v>
      </c>
    </row>
    <row r="20" spans="2:10">
      <c r="B20" s="609" t="s">
        <v>1433</v>
      </c>
      <c r="C20" s="569">
        <v>1</v>
      </c>
      <c r="D20" s="570">
        <f>6600/6</f>
        <v>1100</v>
      </c>
      <c r="E20" s="610">
        <v>0.16</v>
      </c>
      <c r="F20" s="571">
        <f t="shared" si="0"/>
        <v>1100</v>
      </c>
      <c r="G20" s="572">
        <f t="shared" si="1"/>
        <v>1100</v>
      </c>
      <c r="H20" s="572">
        <f t="shared" si="2"/>
        <v>176</v>
      </c>
      <c r="I20" s="573">
        <f t="shared" si="3"/>
        <v>1276</v>
      </c>
    </row>
    <row r="21" spans="2:10">
      <c r="B21" s="609" t="s">
        <v>1434</v>
      </c>
      <c r="C21" s="569">
        <v>1</v>
      </c>
      <c r="D21" s="570">
        <v>2950</v>
      </c>
      <c r="E21" s="610">
        <v>0</v>
      </c>
      <c r="F21" s="571">
        <f t="shared" si="0"/>
        <v>2950</v>
      </c>
      <c r="G21" s="572">
        <f t="shared" si="1"/>
        <v>2950</v>
      </c>
      <c r="H21" s="572">
        <f>ROUND(G21*0,0)</f>
        <v>0</v>
      </c>
      <c r="I21" s="573">
        <f t="shared" si="3"/>
        <v>2950</v>
      </c>
    </row>
    <row r="22" spans="2:10">
      <c r="B22" s="609" t="s">
        <v>1435</v>
      </c>
      <c r="C22" s="584">
        <v>1</v>
      </c>
      <c r="D22" s="570">
        <v>500</v>
      </c>
      <c r="E22" s="610">
        <v>0.16</v>
      </c>
      <c r="F22" s="571">
        <f t="shared" si="0"/>
        <v>500</v>
      </c>
      <c r="G22" s="572">
        <f t="shared" si="1"/>
        <v>500</v>
      </c>
      <c r="H22" s="572">
        <f t="shared" si="2"/>
        <v>80</v>
      </c>
      <c r="I22" s="573">
        <f t="shared" si="3"/>
        <v>580</v>
      </c>
    </row>
    <row r="23" spans="2:10">
      <c r="B23" s="609" t="s">
        <v>1436</v>
      </c>
      <c r="C23" s="584">
        <v>10</v>
      </c>
      <c r="D23" s="570">
        <f>3900/10</f>
        <v>390</v>
      </c>
      <c r="E23" s="610">
        <v>0</v>
      </c>
      <c r="F23" s="571">
        <f t="shared" si="0"/>
        <v>390</v>
      </c>
      <c r="G23" s="572">
        <f t="shared" si="1"/>
        <v>3900</v>
      </c>
      <c r="H23" s="572">
        <f>ROUND(G23*0%,0)</f>
        <v>0</v>
      </c>
      <c r="I23" s="573">
        <f t="shared" si="3"/>
        <v>3900</v>
      </c>
    </row>
    <row r="24" spans="2:10">
      <c r="B24" s="609" t="s">
        <v>1437</v>
      </c>
      <c r="C24" s="584">
        <v>10</v>
      </c>
      <c r="D24" s="570">
        <f>2500/10</f>
        <v>250</v>
      </c>
      <c r="E24" s="610">
        <v>0</v>
      </c>
      <c r="F24" s="571">
        <f t="shared" si="0"/>
        <v>250</v>
      </c>
      <c r="G24" s="572">
        <f t="shared" si="1"/>
        <v>2500</v>
      </c>
      <c r="H24" s="572">
        <f>ROUND(G24*0%,0)</f>
        <v>0</v>
      </c>
      <c r="I24" s="573">
        <f t="shared" si="3"/>
        <v>2500</v>
      </c>
    </row>
    <row r="25" spans="2:10">
      <c r="B25" s="611" t="s">
        <v>1438</v>
      </c>
      <c r="C25" s="612">
        <v>1</v>
      </c>
      <c r="D25" s="570">
        <v>700</v>
      </c>
      <c r="E25" s="610">
        <v>0</v>
      </c>
      <c r="F25" s="571">
        <f t="shared" si="0"/>
        <v>700</v>
      </c>
      <c r="G25" s="572">
        <f t="shared" si="1"/>
        <v>700</v>
      </c>
      <c r="H25" s="572">
        <f>ROUND(G25*0%,0)</f>
        <v>0</v>
      </c>
      <c r="I25" s="573">
        <f t="shared" si="3"/>
        <v>700</v>
      </c>
    </row>
    <row r="26" spans="2:10">
      <c r="B26" s="611" t="s">
        <v>1439</v>
      </c>
      <c r="C26" s="612">
        <v>1</v>
      </c>
      <c r="D26" s="570">
        <v>350</v>
      </c>
      <c r="E26" s="610">
        <v>0.16</v>
      </c>
      <c r="F26" s="571">
        <f t="shared" si="0"/>
        <v>350</v>
      </c>
      <c r="G26" s="572">
        <f t="shared" si="1"/>
        <v>350</v>
      </c>
      <c r="H26" s="572">
        <f t="shared" si="2"/>
        <v>56</v>
      </c>
      <c r="I26" s="573">
        <f t="shared" si="3"/>
        <v>406</v>
      </c>
    </row>
    <row r="27" spans="2:10">
      <c r="B27" s="611" t="s">
        <v>1440</v>
      </c>
      <c r="C27" s="612">
        <v>1</v>
      </c>
      <c r="D27" s="570">
        <v>500</v>
      </c>
      <c r="E27" s="610">
        <v>0.16</v>
      </c>
      <c r="F27" s="571">
        <f t="shared" si="0"/>
        <v>500</v>
      </c>
      <c r="G27" s="572">
        <f t="shared" si="1"/>
        <v>500</v>
      </c>
      <c r="H27" s="572">
        <f t="shared" si="2"/>
        <v>80</v>
      </c>
      <c r="I27" s="573">
        <f t="shared" si="3"/>
        <v>580</v>
      </c>
    </row>
    <row r="28" spans="2:10">
      <c r="B28" s="611" t="s">
        <v>1441</v>
      </c>
      <c r="C28" s="612">
        <v>6</v>
      </c>
      <c r="D28" s="570">
        <v>1550</v>
      </c>
      <c r="E28" s="610">
        <v>0</v>
      </c>
      <c r="F28" s="571">
        <f t="shared" si="0"/>
        <v>1550</v>
      </c>
      <c r="G28" s="572">
        <f t="shared" si="1"/>
        <v>9300</v>
      </c>
      <c r="H28" s="572">
        <f>ROUND(G28*0%,0)</f>
        <v>0</v>
      </c>
      <c r="I28" s="573">
        <f t="shared" si="3"/>
        <v>9300</v>
      </c>
    </row>
    <row r="29" spans="2:10">
      <c r="B29" s="611" t="s">
        <v>1442</v>
      </c>
      <c r="C29" s="612">
        <v>25</v>
      </c>
      <c r="D29" s="570">
        <f>1800/25</f>
        <v>72</v>
      </c>
      <c r="E29" s="610">
        <v>0</v>
      </c>
      <c r="F29" s="571">
        <f t="shared" si="0"/>
        <v>72</v>
      </c>
      <c r="G29" s="572">
        <f t="shared" si="1"/>
        <v>1800</v>
      </c>
      <c r="H29" s="572">
        <f>ROUND(G29*0%,0)</f>
        <v>0</v>
      </c>
      <c r="I29" s="573">
        <f t="shared" si="3"/>
        <v>1800</v>
      </c>
    </row>
    <row r="30" spans="2:10">
      <c r="B30" s="611" t="s">
        <v>1443</v>
      </c>
      <c r="C30" s="612">
        <v>35</v>
      </c>
      <c r="D30" s="570">
        <f>2600/35</f>
        <v>74.285714285714292</v>
      </c>
      <c r="E30" s="610">
        <v>0</v>
      </c>
      <c r="F30" s="571">
        <f t="shared" si="0"/>
        <v>74</v>
      </c>
      <c r="G30" s="572">
        <f t="shared" si="1"/>
        <v>2600</v>
      </c>
      <c r="H30" s="572">
        <f>ROUND(G30*0%,0)</f>
        <v>0</v>
      </c>
      <c r="I30" s="573">
        <f t="shared" si="3"/>
        <v>2600</v>
      </c>
    </row>
    <row r="31" spans="2:10">
      <c r="B31" s="611" t="s">
        <v>1444</v>
      </c>
      <c r="C31" s="612">
        <v>1</v>
      </c>
      <c r="D31" s="570">
        <v>2900</v>
      </c>
      <c r="E31" s="610">
        <v>0.16</v>
      </c>
      <c r="F31" s="571">
        <f t="shared" si="0"/>
        <v>2900</v>
      </c>
      <c r="G31" s="572">
        <f t="shared" si="1"/>
        <v>2900</v>
      </c>
      <c r="H31" s="572">
        <f t="shared" si="2"/>
        <v>464</v>
      </c>
      <c r="I31" s="573">
        <f t="shared" si="3"/>
        <v>3364</v>
      </c>
    </row>
    <row r="32" spans="2:10">
      <c r="B32" s="611" t="s">
        <v>1445</v>
      </c>
      <c r="C32" s="612">
        <v>1</v>
      </c>
      <c r="D32" s="570">
        <f>2500/6</f>
        <v>416.66666666666669</v>
      </c>
      <c r="E32" s="610">
        <v>0.16</v>
      </c>
      <c r="F32" s="571">
        <f t="shared" si="0"/>
        <v>417</v>
      </c>
      <c r="G32" s="572">
        <f t="shared" si="1"/>
        <v>417</v>
      </c>
      <c r="H32" s="572">
        <f t="shared" si="2"/>
        <v>67</v>
      </c>
      <c r="I32" s="573">
        <f t="shared" si="3"/>
        <v>484</v>
      </c>
    </row>
    <row r="33" spans="2:9">
      <c r="B33" s="611" t="s">
        <v>1446</v>
      </c>
      <c r="C33" s="612">
        <v>8</v>
      </c>
      <c r="D33" s="570">
        <f>700/8</f>
        <v>87.5</v>
      </c>
      <c r="E33" s="610">
        <v>0.16</v>
      </c>
      <c r="F33" s="571">
        <f t="shared" si="0"/>
        <v>88</v>
      </c>
      <c r="G33" s="572">
        <f t="shared" si="1"/>
        <v>700</v>
      </c>
      <c r="H33" s="572">
        <f t="shared" si="2"/>
        <v>112</v>
      </c>
      <c r="I33" s="573">
        <f t="shared" si="3"/>
        <v>812</v>
      </c>
    </row>
    <row r="34" spans="2:9">
      <c r="B34" s="613" t="s">
        <v>1447</v>
      </c>
      <c r="C34" s="614">
        <v>1</v>
      </c>
      <c r="D34" s="615">
        <v>250</v>
      </c>
      <c r="E34" s="610">
        <v>0.16</v>
      </c>
      <c r="F34" s="571">
        <f t="shared" si="0"/>
        <v>250</v>
      </c>
      <c r="G34" s="572">
        <f t="shared" si="1"/>
        <v>250</v>
      </c>
      <c r="H34" s="572">
        <f>ROUND(G34*0%,0)</f>
        <v>0</v>
      </c>
      <c r="I34" s="573">
        <f t="shared" si="3"/>
        <v>250</v>
      </c>
    </row>
    <row r="35" spans="2:9">
      <c r="B35" s="613" t="s">
        <v>1448</v>
      </c>
      <c r="C35" s="614">
        <v>1</v>
      </c>
      <c r="D35" s="615">
        <f>(500/20)*200</f>
        <v>5000</v>
      </c>
      <c r="E35" s="610">
        <v>0.16</v>
      </c>
      <c r="F35" s="571">
        <f t="shared" si="0"/>
        <v>5000</v>
      </c>
      <c r="G35" s="572">
        <f t="shared" si="1"/>
        <v>5000</v>
      </c>
      <c r="H35" s="572">
        <f>ROUND(G35*16%,0)</f>
        <v>800</v>
      </c>
      <c r="I35" s="573">
        <f t="shared" si="3"/>
        <v>5800</v>
      </c>
    </row>
    <row r="36" spans="2:9">
      <c r="B36" s="613" t="s">
        <v>1449</v>
      </c>
      <c r="C36" s="614">
        <v>1</v>
      </c>
      <c r="D36" s="615">
        <v>700</v>
      </c>
      <c r="E36" s="610">
        <v>0</v>
      </c>
      <c r="F36" s="571">
        <f t="shared" si="0"/>
        <v>700</v>
      </c>
      <c r="G36" s="572">
        <f t="shared" si="1"/>
        <v>700</v>
      </c>
      <c r="H36" s="572">
        <f>ROUND(G36*0,0)</f>
        <v>0</v>
      </c>
      <c r="I36" s="573">
        <f t="shared" si="3"/>
        <v>700</v>
      </c>
    </row>
    <row r="37" spans="2:9">
      <c r="B37" s="613" t="s">
        <v>1450</v>
      </c>
      <c r="C37" s="614">
        <v>1</v>
      </c>
      <c r="D37" s="615">
        <v>9900</v>
      </c>
      <c r="E37" s="610">
        <v>0</v>
      </c>
      <c r="F37" s="571">
        <f t="shared" si="0"/>
        <v>9900</v>
      </c>
      <c r="G37" s="572">
        <f t="shared" si="1"/>
        <v>9900</v>
      </c>
      <c r="H37" s="572">
        <f>ROUND(G37*0,0)</f>
        <v>0</v>
      </c>
      <c r="I37" s="573">
        <f t="shared" si="3"/>
        <v>9900</v>
      </c>
    </row>
    <row r="38" spans="2:9">
      <c r="B38" s="613" t="s">
        <v>1451</v>
      </c>
      <c r="C38" s="614">
        <v>1</v>
      </c>
      <c r="D38" s="615">
        <v>2400</v>
      </c>
      <c r="E38" s="610">
        <v>0.16</v>
      </c>
      <c r="F38" s="571">
        <f t="shared" si="0"/>
        <v>2400</v>
      </c>
      <c r="G38" s="572">
        <f t="shared" si="1"/>
        <v>2400</v>
      </c>
      <c r="H38" s="572">
        <f t="shared" si="2"/>
        <v>384</v>
      </c>
      <c r="I38" s="573">
        <f t="shared" si="3"/>
        <v>2784</v>
      </c>
    </row>
    <row r="39" spans="2:9" ht="13.5" thickBot="1">
      <c r="B39" s="616" t="s">
        <v>1452</v>
      </c>
      <c r="C39" s="617">
        <v>1</v>
      </c>
      <c r="D39" s="575">
        <v>7000</v>
      </c>
      <c r="E39" s="610">
        <v>0.16</v>
      </c>
      <c r="F39" s="571">
        <f t="shared" si="0"/>
        <v>7000</v>
      </c>
      <c r="G39" s="572">
        <f t="shared" si="1"/>
        <v>7000</v>
      </c>
      <c r="H39" s="572">
        <f t="shared" si="2"/>
        <v>1120</v>
      </c>
      <c r="I39" s="573">
        <f t="shared" si="3"/>
        <v>8120</v>
      </c>
    </row>
    <row r="40" spans="2:9" ht="13.5" thickBot="1"/>
    <row r="41" spans="2:9" s="545" customFormat="1">
      <c r="B41" s="550"/>
      <c r="C41" s="551"/>
      <c r="D41" s="551"/>
      <c r="E41" s="552"/>
      <c r="F41" s="552"/>
      <c r="G41" s="553"/>
      <c r="H41" s="554"/>
      <c r="I41" s="555"/>
    </row>
    <row r="42" spans="2:9" s="545" customFormat="1">
      <c r="B42" s="556"/>
      <c r="C42" s="557"/>
      <c r="D42" s="557"/>
      <c r="E42" s="557"/>
      <c r="F42" s="557"/>
      <c r="G42" s="558"/>
      <c r="H42" s="558"/>
      <c r="I42" s="559"/>
    </row>
    <row r="43" spans="2:9" s="545" customFormat="1">
      <c r="B43" s="556"/>
      <c r="C43" s="557"/>
      <c r="D43" s="557"/>
      <c r="E43" s="557"/>
      <c r="F43" s="557"/>
      <c r="G43" s="557"/>
      <c r="H43" s="560"/>
      <c r="I43" s="559"/>
    </row>
    <row r="44" spans="2:9" s="545" customFormat="1">
      <c r="B44" s="556"/>
      <c r="C44" s="557"/>
      <c r="D44" s="557"/>
      <c r="E44" s="557"/>
      <c r="F44" s="557"/>
      <c r="G44" s="557"/>
      <c r="H44" s="560"/>
      <c r="I44" s="559"/>
    </row>
    <row r="45" spans="2:9" s="545" customFormat="1">
      <c r="B45" s="556"/>
      <c r="I45" s="561"/>
    </row>
    <row r="46" spans="2:9" s="545" customFormat="1">
      <c r="B46" s="556"/>
      <c r="I46" s="561"/>
    </row>
    <row r="47" spans="2:9" s="545" customFormat="1" ht="13.5" thickBot="1">
      <c r="B47" s="562"/>
      <c r="C47" s="563"/>
      <c r="D47" s="563"/>
      <c r="E47" s="563"/>
      <c r="F47" s="563"/>
      <c r="G47" s="563"/>
      <c r="H47" s="563"/>
      <c r="I47" s="564"/>
    </row>
    <row r="48" spans="2:9" s="545" customFormat="1">
      <c r="B48" s="1299" t="s">
        <v>1417</v>
      </c>
      <c r="C48" s="1300"/>
      <c r="D48" s="1300"/>
      <c r="E48" s="1300"/>
      <c r="F48" s="1300"/>
      <c r="G48" s="1300"/>
      <c r="H48" s="1300"/>
      <c r="I48" s="1301"/>
    </row>
    <row r="49" spans="2:9" s="545" customFormat="1">
      <c r="B49" s="1302"/>
      <c r="C49" s="1303"/>
      <c r="D49" s="1303"/>
      <c r="E49" s="1303"/>
      <c r="F49" s="1303"/>
      <c r="G49" s="1303"/>
      <c r="H49" s="1303"/>
      <c r="I49" s="1304"/>
    </row>
    <row r="50" spans="2:9" s="545" customFormat="1">
      <c r="B50" s="1295" t="s">
        <v>1453</v>
      </c>
      <c r="C50" s="1296"/>
      <c r="D50" s="1296"/>
      <c r="E50" s="1296"/>
      <c r="F50" s="1296" t="s">
        <v>1454</v>
      </c>
      <c r="G50" s="1296"/>
      <c r="H50" s="1309" t="s">
        <v>1455</v>
      </c>
      <c r="I50" s="1298"/>
    </row>
    <row r="51" spans="2:9" s="545" customFormat="1">
      <c r="B51" s="1305" t="s">
        <v>1456</v>
      </c>
      <c r="C51" s="1306"/>
      <c r="D51" s="1306"/>
      <c r="E51" s="1306"/>
      <c r="F51" s="1296" t="s">
        <v>1422</v>
      </c>
      <c r="G51" s="1296"/>
      <c r="H51" s="1307" t="s">
        <v>1423</v>
      </c>
      <c r="I51" s="1308"/>
    </row>
    <row r="52" spans="2:9" s="618" customFormat="1">
      <c r="B52" s="602"/>
      <c r="C52" s="603"/>
      <c r="D52" s="603"/>
      <c r="E52" s="603"/>
      <c r="F52" s="604"/>
      <c r="G52" s="604"/>
      <c r="H52" s="605"/>
      <c r="I52" s="606"/>
    </row>
    <row r="53" spans="2:9" s="545" customFormat="1">
      <c r="B53" s="582" t="s">
        <v>1510</v>
      </c>
      <c r="I53" s="561"/>
    </row>
    <row r="54" spans="2:9" s="545" customFormat="1">
      <c r="B54" s="582" t="s">
        <v>1511</v>
      </c>
      <c r="I54" s="561"/>
    </row>
    <row r="55" spans="2:9">
      <c r="B55" s="586"/>
      <c r="C55" s="587"/>
      <c r="D55" s="587"/>
      <c r="E55" s="587"/>
      <c r="F55" s="587"/>
      <c r="G55" s="587"/>
      <c r="H55" s="587"/>
      <c r="I55" s="607"/>
    </row>
    <row r="56" spans="2:9" ht="25.5">
      <c r="B56" s="565" t="s">
        <v>1424</v>
      </c>
      <c r="C56" s="566" t="s">
        <v>1425</v>
      </c>
      <c r="D56" s="566" t="s">
        <v>1426</v>
      </c>
      <c r="E56" s="566" t="s">
        <v>1427</v>
      </c>
      <c r="F56" s="566" t="s">
        <v>1457</v>
      </c>
      <c r="G56" s="566" t="s">
        <v>1429</v>
      </c>
      <c r="H56" s="566" t="s">
        <v>1430</v>
      </c>
      <c r="I56" s="567" t="s">
        <v>1431</v>
      </c>
    </row>
    <row r="57" spans="2:9">
      <c r="B57" s="609" t="s">
        <v>1458</v>
      </c>
      <c r="C57" s="569">
        <v>1</v>
      </c>
      <c r="D57" s="570">
        <v>2810</v>
      </c>
      <c r="E57" s="610">
        <v>0.16</v>
      </c>
      <c r="F57" s="571">
        <f>ROUND((E57+D57),0)</f>
        <v>2810</v>
      </c>
      <c r="G57" s="572">
        <f>ROUND(D57*C57,0)</f>
        <v>2810</v>
      </c>
      <c r="H57" s="572">
        <f>ROUND(G57*16%,0)</f>
        <v>450</v>
      </c>
      <c r="I57" s="573">
        <f>ROUND(G57+H57,0)</f>
        <v>3260</v>
      </c>
    </row>
    <row r="58" spans="2:9">
      <c r="B58" s="609" t="s">
        <v>1433</v>
      </c>
      <c r="C58" s="569">
        <v>1</v>
      </c>
      <c r="D58" s="570">
        <v>1266</v>
      </c>
      <c r="E58" s="610">
        <v>0.16</v>
      </c>
      <c r="F58" s="571">
        <f t="shared" ref="F58:F77" si="4">ROUND((E58+D58),0)</f>
        <v>1266</v>
      </c>
      <c r="G58" s="572">
        <f t="shared" ref="G58:G77" si="5">ROUND(D58*C58,0)</f>
        <v>1266</v>
      </c>
      <c r="H58" s="572">
        <f t="shared" ref="H58" si="6">ROUND(G58*16%,0)</f>
        <v>203</v>
      </c>
      <c r="I58" s="573">
        <f t="shared" ref="I58:I77" si="7">ROUND(G58+H58,0)</f>
        <v>1469</v>
      </c>
    </row>
    <row r="59" spans="2:9">
      <c r="B59" s="609" t="s">
        <v>1459</v>
      </c>
      <c r="C59" s="569">
        <v>1</v>
      </c>
      <c r="D59" s="570">
        <v>604</v>
      </c>
      <c r="E59" s="610">
        <v>0</v>
      </c>
      <c r="F59" s="571">
        <f t="shared" si="4"/>
        <v>604</v>
      </c>
      <c r="G59" s="572">
        <f t="shared" si="5"/>
        <v>604</v>
      </c>
      <c r="H59" s="572">
        <f>ROUND(G59*0%,0)</f>
        <v>0</v>
      </c>
      <c r="I59" s="573">
        <f t="shared" si="7"/>
        <v>604</v>
      </c>
    </row>
    <row r="60" spans="2:9">
      <c r="B60" s="609" t="s">
        <v>1435</v>
      </c>
      <c r="C60" s="584">
        <v>1</v>
      </c>
      <c r="D60" s="570">
        <v>2233</v>
      </c>
      <c r="E60" s="610">
        <v>0.16</v>
      </c>
      <c r="F60" s="571">
        <f t="shared" si="4"/>
        <v>2233</v>
      </c>
      <c r="G60" s="572">
        <f t="shared" si="5"/>
        <v>2233</v>
      </c>
      <c r="H60" s="572">
        <f t="shared" ref="H60:H77" si="8">ROUND(G60*16%,0)</f>
        <v>357</v>
      </c>
      <c r="I60" s="573">
        <f t="shared" si="7"/>
        <v>2590</v>
      </c>
    </row>
    <row r="61" spans="2:9" ht="25.5">
      <c r="B61" s="619" t="s">
        <v>1460</v>
      </c>
      <c r="C61" s="583">
        <v>1</v>
      </c>
      <c r="D61" s="570">
        <v>425</v>
      </c>
      <c r="E61" s="610">
        <v>0</v>
      </c>
      <c r="F61" s="571">
        <f t="shared" si="4"/>
        <v>425</v>
      </c>
      <c r="G61" s="572">
        <f t="shared" si="5"/>
        <v>425</v>
      </c>
      <c r="H61" s="572">
        <f>ROUND(G61*0%,0)</f>
        <v>0</v>
      </c>
      <c r="I61" s="573">
        <f>ROUND(G61+H61,0)*10</f>
        <v>4250</v>
      </c>
    </row>
    <row r="62" spans="2:9" ht="25.5">
      <c r="B62" s="619" t="s">
        <v>1461</v>
      </c>
      <c r="C62" s="583">
        <v>1</v>
      </c>
      <c r="D62" s="570">
        <f>4858/10</f>
        <v>485.8</v>
      </c>
      <c r="E62" s="610">
        <v>0</v>
      </c>
      <c r="F62" s="571">
        <f t="shared" si="4"/>
        <v>486</v>
      </c>
      <c r="G62" s="572">
        <f t="shared" si="5"/>
        <v>486</v>
      </c>
      <c r="H62" s="572">
        <f>ROUND(G62*0%,0)</f>
        <v>0</v>
      </c>
      <c r="I62" s="573">
        <f>ROUND(G62+H62,0)*10</f>
        <v>4860</v>
      </c>
    </row>
    <row r="63" spans="2:9">
      <c r="B63" s="611" t="s">
        <v>1462</v>
      </c>
      <c r="C63" s="612">
        <v>1</v>
      </c>
      <c r="D63" s="570">
        <f>7164/12</f>
        <v>597</v>
      </c>
      <c r="E63" s="610">
        <v>0</v>
      </c>
      <c r="F63" s="571">
        <f t="shared" si="4"/>
        <v>597</v>
      </c>
      <c r="G63" s="572">
        <f t="shared" si="5"/>
        <v>597</v>
      </c>
      <c r="H63" s="572">
        <f>ROUND(G63*0%,0)</f>
        <v>0</v>
      </c>
      <c r="I63" s="573">
        <f t="shared" si="7"/>
        <v>597</v>
      </c>
    </row>
    <row r="64" spans="2:9">
      <c r="B64" s="611" t="s">
        <v>1463</v>
      </c>
      <c r="C64" s="612">
        <v>1</v>
      </c>
      <c r="D64" s="570">
        <f>4960/20</f>
        <v>248</v>
      </c>
      <c r="E64" s="610">
        <v>0.16</v>
      </c>
      <c r="F64" s="571">
        <f t="shared" si="4"/>
        <v>248</v>
      </c>
      <c r="G64" s="572">
        <f t="shared" si="5"/>
        <v>248</v>
      </c>
      <c r="H64" s="572">
        <f t="shared" si="8"/>
        <v>40</v>
      </c>
      <c r="I64" s="573">
        <f t="shared" si="7"/>
        <v>288</v>
      </c>
    </row>
    <row r="65" spans="2:9">
      <c r="B65" s="611" t="s">
        <v>1440</v>
      </c>
      <c r="C65" s="612">
        <v>1</v>
      </c>
      <c r="D65" s="570">
        <v>700</v>
      </c>
      <c r="E65" s="610">
        <v>0.16</v>
      </c>
      <c r="F65" s="571">
        <f t="shared" si="4"/>
        <v>700</v>
      </c>
      <c r="G65" s="572">
        <f t="shared" si="5"/>
        <v>700</v>
      </c>
      <c r="H65" s="572">
        <f t="shared" si="8"/>
        <v>112</v>
      </c>
      <c r="I65" s="573">
        <f t="shared" si="7"/>
        <v>812</v>
      </c>
    </row>
    <row r="66" spans="2:9">
      <c r="B66" s="620" t="s">
        <v>1464</v>
      </c>
      <c r="C66" s="612">
        <v>1</v>
      </c>
      <c r="D66" s="570">
        <v>977</v>
      </c>
      <c r="E66" s="610">
        <v>0</v>
      </c>
      <c r="F66" s="571">
        <f t="shared" si="4"/>
        <v>977</v>
      </c>
      <c r="G66" s="572">
        <f t="shared" si="5"/>
        <v>977</v>
      </c>
      <c r="H66" s="572">
        <f>ROUND(G66*0%,0)</f>
        <v>0</v>
      </c>
      <c r="I66" s="573">
        <f t="shared" si="7"/>
        <v>977</v>
      </c>
    </row>
    <row r="67" spans="2:9">
      <c r="B67" s="620" t="s">
        <v>1465</v>
      </c>
      <c r="C67" s="612">
        <v>1</v>
      </c>
      <c r="D67" s="570">
        <v>2500</v>
      </c>
      <c r="E67" s="610">
        <v>0</v>
      </c>
      <c r="F67" s="571">
        <f t="shared" si="4"/>
        <v>2500</v>
      </c>
      <c r="G67" s="572">
        <f t="shared" si="5"/>
        <v>2500</v>
      </c>
      <c r="H67" s="572">
        <f t="shared" ref="H67:H68" si="9">ROUND(G67*0%,0)</f>
        <v>0</v>
      </c>
      <c r="I67" s="573">
        <f t="shared" si="7"/>
        <v>2500</v>
      </c>
    </row>
    <row r="68" spans="2:9">
      <c r="B68" s="620" t="s">
        <v>1466</v>
      </c>
      <c r="C68" s="612">
        <v>1</v>
      </c>
      <c r="D68" s="570">
        <f>1500/35</f>
        <v>42.857142857142854</v>
      </c>
      <c r="E68" s="610">
        <v>0</v>
      </c>
      <c r="F68" s="571">
        <f t="shared" si="4"/>
        <v>43</v>
      </c>
      <c r="G68" s="572">
        <f t="shared" si="5"/>
        <v>43</v>
      </c>
      <c r="H68" s="572">
        <f t="shared" si="9"/>
        <v>0</v>
      </c>
      <c r="I68" s="573">
        <f>ROUND(G68+H68,0)*35</f>
        <v>1505</v>
      </c>
    </row>
    <row r="69" spans="2:9">
      <c r="B69" s="611" t="s">
        <v>1467</v>
      </c>
      <c r="C69" s="612">
        <v>1</v>
      </c>
      <c r="D69" s="570">
        <v>2007</v>
      </c>
      <c r="E69" s="610">
        <v>0.16</v>
      </c>
      <c r="F69" s="571">
        <f t="shared" si="4"/>
        <v>2007</v>
      </c>
      <c r="G69" s="572">
        <f t="shared" si="5"/>
        <v>2007</v>
      </c>
      <c r="H69" s="572">
        <f t="shared" si="8"/>
        <v>321</v>
      </c>
      <c r="I69" s="573">
        <f t="shared" si="7"/>
        <v>2328</v>
      </c>
    </row>
    <row r="70" spans="2:9">
      <c r="B70" s="611" t="s">
        <v>1468</v>
      </c>
      <c r="C70" s="612">
        <v>1</v>
      </c>
      <c r="D70" s="570">
        <v>706</v>
      </c>
      <c r="E70" s="610">
        <v>0.16</v>
      </c>
      <c r="F70" s="571">
        <f t="shared" si="4"/>
        <v>706</v>
      </c>
      <c r="G70" s="572">
        <f t="shared" si="5"/>
        <v>706</v>
      </c>
      <c r="H70" s="572">
        <f t="shared" si="8"/>
        <v>113</v>
      </c>
      <c r="I70" s="573">
        <f t="shared" si="7"/>
        <v>819</v>
      </c>
    </row>
    <row r="71" spans="2:9">
      <c r="B71" s="611" t="s">
        <v>1469</v>
      </c>
      <c r="C71" s="612">
        <v>1</v>
      </c>
      <c r="D71" s="570">
        <v>533</v>
      </c>
      <c r="E71" s="610">
        <v>0.16</v>
      </c>
      <c r="F71" s="571">
        <f t="shared" si="4"/>
        <v>533</v>
      </c>
      <c r="G71" s="572">
        <f t="shared" si="5"/>
        <v>533</v>
      </c>
      <c r="H71" s="572">
        <f t="shared" si="8"/>
        <v>85</v>
      </c>
      <c r="I71" s="573">
        <f t="shared" si="7"/>
        <v>618</v>
      </c>
    </row>
    <row r="72" spans="2:9">
      <c r="B72" s="613" t="s">
        <v>1447</v>
      </c>
      <c r="C72" s="614">
        <v>1</v>
      </c>
      <c r="D72" s="570">
        <v>200</v>
      </c>
      <c r="E72" s="610">
        <v>0.16</v>
      </c>
      <c r="F72" s="571">
        <f t="shared" si="4"/>
        <v>200</v>
      </c>
      <c r="G72" s="572">
        <f t="shared" si="5"/>
        <v>200</v>
      </c>
      <c r="H72" s="572">
        <f t="shared" si="8"/>
        <v>32</v>
      </c>
      <c r="I72" s="573">
        <f t="shared" si="7"/>
        <v>232</v>
      </c>
    </row>
    <row r="73" spans="2:9">
      <c r="B73" s="613" t="s">
        <v>1470</v>
      </c>
      <c r="C73" s="614">
        <v>1</v>
      </c>
      <c r="D73" s="570">
        <v>4500</v>
      </c>
      <c r="E73" s="610">
        <v>0.16</v>
      </c>
      <c r="F73" s="571">
        <f t="shared" si="4"/>
        <v>4500</v>
      </c>
      <c r="G73" s="572">
        <f t="shared" si="5"/>
        <v>4500</v>
      </c>
      <c r="H73" s="572">
        <f t="shared" si="8"/>
        <v>720</v>
      </c>
      <c r="I73" s="573">
        <f t="shared" si="7"/>
        <v>5220</v>
      </c>
    </row>
    <row r="74" spans="2:9">
      <c r="B74" s="613" t="s">
        <v>1471</v>
      </c>
      <c r="C74" s="614">
        <v>1</v>
      </c>
      <c r="D74" s="570">
        <v>780</v>
      </c>
      <c r="E74" s="610">
        <v>0.16</v>
      </c>
      <c r="F74" s="571">
        <f t="shared" si="4"/>
        <v>780</v>
      </c>
      <c r="G74" s="572">
        <f t="shared" si="5"/>
        <v>780</v>
      </c>
      <c r="H74" s="572">
        <f t="shared" si="8"/>
        <v>125</v>
      </c>
      <c r="I74" s="573">
        <f t="shared" si="7"/>
        <v>905</v>
      </c>
    </row>
    <row r="75" spans="2:9">
      <c r="B75" s="613" t="s">
        <v>1450</v>
      </c>
      <c r="C75" s="614">
        <v>1</v>
      </c>
      <c r="D75" s="570">
        <v>10000</v>
      </c>
      <c r="E75" s="610">
        <v>0.16</v>
      </c>
      <c r="F75" s="571">
        <f t="shared" si="4"/>
        <v>10000</v>
      </c>
      <c r="G75" s="572">
        <f t="shared" si="5"/>
        <v>10000</v>
      </c>
      <c r="H75" s="572">
        <f t="shared" si="8"/>
        <v>1600</v>
      </c>
      <c r="I75" s="573">
        <f t="shared" si="7"/>
        <v>11600</v>
      </c>
    </row>
    <row r="76" spans="2:9">
      <c r="B76" s="613" t="s">
        <v>1472</v>
      </c>
      <c r="C76" s="614">
        <v>1</v>
      </c>
      <c r="D76" s="570">
        <v>528</v>
      </c>
      <c r="E76" s="610">
        <v>0.16</v>
      </c>
      <c r="F76" s="571">
        <f t="shared" si="4"/>
        <v>528</v>
      </c>
      <c r="G76" s="572">
        <f t="shared" si="5"/>
        <v>528</v>
      </c>
      <c r="H76" s="572">
        <f t="shared" si="8"/>
        <v>84</v>
      </c>
      <c r="I76" s="573">
        <f t="shared" si="7"/>
        <v>612</v>
      </c>
    </row>
    <row r="77" spans="2:9" ht="13.5" thickBot="1">
      <c r="B77" s="616" t="s">
        <v>1452</v>
      </c>
      <c r="C77" s="617">
        <v>1</v>
      </c>
      <c r="D77" s="575">
        <v>3744</v>
      </c>
      <c r="E77" s="621">
        <v>0.16</v>
      </c>
      <c r="F77" s="576">
        <f t="shared" si="4"/>
        <v>3744</v>
      </c>
      <c r="G77" s="577">
        <f t="shared" si="5"/>
        <v>3744</v>
      </c>
      <c r="H77" s="577">
        <f t="shared" si="8"/>
        <v>599</v>
      </c>
      <c r="I77" s="578">
        <f t="shared" si="7"/>
        <v>4343</v>
      </c>
    </row>
    <row r="79" spans="2:9" s="545" customFormat="1" ht="13.5" thickBot="1">
      <c r="B79" s="546"/>
      <c r="C79" s="547"/>
      <c r="D79" s="547"/>
      <c r="E79" s="548"/>
      <c r="F79" s="548"/>
      <c r="G79" s="548"/>
      <c r="H79" s="548"/>
      <c r="I79" s="549"/>
    </row>
    <row r="80" spans="2:9" s="545" customFormat="1">
      <c r="B80" s="550"/>
      <c r="C80" s="551"/>
      <c r="D80" s="551"/>
      <c r="E80" s="552"/>
      <c r="F80" s="552"/>
      <c r="G80" s="553"/>
      <c r="H80" s="554"/>
      <c r="I80" s="555"/>
    </row>
    <row r="81" spans="2:9" s="545" customFormat="1">
      <c r="B81" s="556"/>
      <c r="C81" s="557"/>
      <c r="D81" s="557"/>
      <c r="E81" s="557"/>
      <c r="F81" s="557"/>
      <c r="G81" s="558"/>
      <c r="H81" s="558"/>
      <c r="I81" s="559"/>
    </row>
    <row r="82" spans="2:9" s="545" customFormat="1">
      <c r="B82" s="556"/>
      <c r="C82" s="557"/>
      <c r="D82" s="557"/>
      <c r="E82" s="557"/>
      <c r="F82" s="557"/>
      <c r="G82" s="557"/>
      <c r="H82" s="560"/>
      <c r="I82" s="559"/>
    </row>
    <row r="83" spans="2:9" s="545" customFormat="1">
      <c r="B83" s="556"/>
      <c r="C83" s="557"/>
      <c r="D83" s="557"/>
      <c r="E83" s="557"/>
      <c r="F83" s="557"/>
      <c r="G83" s="557"/>
      <c r="H83" s="560"/>
      <c r="I83" s="559"/>
    </row>
    <row r="84" spans="2:9" s="545" customFormat="1">
      <c r="B84" s="556"/>
      <c r="I84" s="561"/>
    </row>
    <row r="85" spans="2:9" s="545" customFormat="1">
      <c r="B85" s="556"/>
      <c r="I85" s="561"/>
    </row>
    <row r="86" spans="2:9" s="545" customFormat="1" ht="13.5" thickBot="1">
      <c r="B86" s="562"/>
      <c r="C86" s="563"/>
      <c r="D86" s="563"/>
      <c r="E86" s="563"/>
      <c r="F86" s="563"/>
      <c r="G86" s="563"/>
      <c r="H86" s="563"/>
      <c r="I86" s="564"/>
    </row>
    <row r="87" spans="2:9" s="545" customFormat="1">
      <c r="B87" s="1299" t="s">
        <v>1417</v>
      </c>
      <c r="C87" s="1300"/>
      <c r="D87" s="1300"/>
      <c r="E87" s="1300"/>
      <c r="F87" s="1300"/>
      <c r="G87" s="1300"/>
      <c r="H87" s="1300"/>
      <c r="I87" s="1301"/>
    </row>
    <row r="88" spans="2:9" s="545" customFormat="1">
      <c r="B88" s="1302"/>
      <c r="C88" s="1303"/>
      <c r="D88" s="1303"/>
      <c r="E88" s="1303"/>
      <c r="F88" s="1303"/>
      <c r="G88" s="1303"/>
      <c r="H88" s="1303"/>
      <c r="I88" s="1304"/>
    </row>
    <row r="89" spans="2:9" s="545" customFormat="1">
      <c r="B89" s="1295" t="s">
        <v>1473</v>
      </c>
      <c r="C89" s="1296"/>
      <c r="D89" s="1296"/>
      <c r="E89" s="1296"/>
      <c r="F89" s="1296" t="s">
        <v>1419</v>
      </c>
      <c r="G89" s="1296"/>
      <c r="H89" s="1309" t="s">
        <v>1420</v>
      </c>
      <c r="I89" s="1298"/>
    </row>
    <row r="90" spans="2:9" s="545" customFormat="1">
      <c r="B90" s="1305" t="s">
        <v>1421</v>
      </c>
      <c r="C90" s="1306"/>
      <c r="D90" s="1306"/>
      <c r="E90" s="1306"/>
      <c r="F90" s="1296" t="s">
        <v>1422</v>
      </c>
      <c r="G90" s="1296"/>
      <c r="H90" s="1307" t="s">
        <v>1423</v>
      </c>
      <c r="I90" s="1308"/>
    </row>
    <row r="91" spans="2:9" s="618" customFormat="1">
      <c r="B91" s="602"/>
      <c r="C91" s="603"/>
      <c r="D91" s="603"/>
      <c r="E91" s="603"/>
      <c r="F91" s="604"/>
      <c r="G91" s="604"/>
      <c r="H91" s="605"/>
      <c r="I91" s="606"/>
    </row>
    <row r="92" spans="2:9" s="545" customFormat="1">
      <c r="B92" s="582" t="s">
        <v>1510</v>
      </c>
      <c r="I92" s="561"/>
    </row>
    <row r="93" spans="2:9" s="545" customFormat="1">
      <c r="B93" s="582" t="s">
        <v>1511</v>
      </c>
      <c r="I93" s="561"/>
    </row>
    <row r="94" spans="2:9">
      <c r="B94" s="586"/>
      <c r="C94" s="587"/>
      <c r="D94" s="587"/>
      <c r="E94" s="587"/>
      <c r="F94" s="587"/>
      <c r="G94" s="587"/>
      <c r="H94" s="587"/>
      <c r="I94" s="607"/>
    </row>
    <row r="95" spans="2:9" ht="25.5">
      <c r="B95" s="565" t="s">
        <v>1424</v>
      </c>
      <c r="C95" s="566" t="s">
        <v>1425</v>
      </c>
      <c r="D95" s="566" t="s">
        <v>1426</v>
      </c>
      <c r="E95" s="566" t="s">
        <v>1427</v>
      </c>
      <c r="F95" s="566" t="s">
        <v>1474</v>
      </c>
      <c r="G95" s="566" t="s">
        <v>1429</v>
      </c>
      <c r="H95" s="566" t="s">
        <v>1430</v>
      </c>
      <c r="I95" s="567" t="s">
        <v>1431</v>
      </c>
    </row>
    <row r="96" spans="2:9">
      <c r="B96" s="609" t="s">
        <v>1458</v>
      </c>
      <c r="C96" s="569">
        <v>1</v>
      </c>
      <c r="D96" s="570">
        <f>2300/1.16</f>
        <v>1982.7586206896553</v>
      </c>
      <c r="E96" s="610">
        <v>0.16</v>
      </c>
      <c r="F96" s="571">
        <f>ROUND((E96+D96),0)</f>
        <v>1983</v>
      </c>
      <c r="G96" s="572">
        <f>ROUND(D96*C96,0)</f>
        <v>1983</v>
      </c>
      <c r="H96" s="572">
        <f>ROUND(G96*16%,0)</f>
        <v>317</v>
      </c>
      <c r="I96" s="573">
        <f>ROUND(G96+H96,0)</f>
        <v>2300</v>
      </c>
    </row>
    <row r="97" spans="2:9">
      <c r="B97" s="609" t="s">
        <v>1433</v>
      </c>
      <c r="C97" s="569">
        <v>1</v>
      </c>
      <c r="D97" s="570">
        <f>(4500/6)/1.16</f>
        <v>646.55172413793105</v>
      </c>
      <c r="E97" s="610">
        <v>0.16</v>
      </c>
      <c r="F97" s="571">
        <f t="shared" ref="F97:F116" si="10">ROUND((E97+D97),0)</f>
        <v>647</v>
      </c>
      <c r="G97" s="572">
        <f t="shared" ref="G97:G116" si="11">ROUND(D97*C97,0)</f>
        <v>647</v>
      </c>
      <c r="H97" s="572">
        <f t="shared" ref="H97" si="12">ROUND(G97*16%,0)</f>
        <v>104</v>
      </c>
      <c r="I97" s="573">
        <f t="shared" ref="I97:I116" si="13">ROUND(G97+H97,0)</f>
        <v>751</v>
      </c>
    </row>
    <row r="98" spans="2:9">
      <c r="B98" s="609" t="s">
        <v>1459</v>
      </c>
      <c r="C98" s="569">
        <v>1</v>
      </c>
      <c r="D98" s="570">
        <v>3600</v>
      </c>
      <c r="E98" s="610">
        <v>0</v>
      </c>
      <c r="F98" s="571">
        <f t="shared" si="10"/>
        <v>3600</v>
      </c>
      <c r="G98" s="572">
        <f t="shared" si="11"/>
        <v>3600</v>
      </c>
      <c r="H98" s="572">
        <f>ROUND(G98*0%,0)</f>
        <v>0</v>
      </c>
      <c r="I98" s="573">
        <f t="shared" si="13"/>
        <v>3600</v>
      </c>
    </row>
    <row r="99" spans="2:9">
      <c r="B99" s="609" t="s">
        <v>1435</v>
      </c>
      <c r="C99" s="584">
        <v>1</v>
      </c>
      <c r="D99" s="570">
        <f>2086/1.16</f>
        <v>1798.2758620689656</v>
      </c>
      <c r="E99" s="610">
        <v>0.16</v>
      </c>
      <c r="F99" s="571">
        <f t="shared" si="10"/>
        <v>1798</v>
      </c>
      <c r="G99" s="572">
        <f t="shared" si="11"/>
        <v>1798</v>
      </c>
      <c r="H99" s="572">
        <f t="shared" ref="H99:H116" si="14">ROUND(G99*16%,0)</f>
        <v>288</v>
      </c>
      <c r="I99" s="573">
        <f t="shared" si="13"/>
        <v>2086</v>
      </c>
    </row>
    <row r="100" spans="2:9" ht="25.5">
      <c r="B100" s="619" t="s">
        <v>1460</v>
      </c>
      <c r="C100" s="583">
        <v>1</v>
      </c>
      <c r="D100" s="570">
        <f>6630/50</f>
        <v>132.6</v>
      </c>
      <c r="E100" s="610">
        <v>0</v>
      </c>
      <c r="F100" s="571">
        <f t="shared" si="10"/>
        <v>133</v>
      </c>
      <c r="G100" s="572">
        <f t="shared" si="11"/>
        <v>133</v>
      </c>
      <c r="H100" s="572">
        <f>ROUND(G100*0%,0)</f>
        <v>0</v>
      </c>
      <c r="I100" s="573">
        <f>ROUND(G100+H100,0)*10</f>
        <v>1330</v>
      </c>
    </row>
    <row r="101" spans="2:9" ht="25.5">
      <c r="B101" s="619" t="s">
        <v>1461</v>
      </c>
      <c r="C101" s="583">
        <v>1</v>
      </c>
      <c r="D101" s="570">
        <v>0</v>
      </c>
      <c r="E101" s="610">
        <v>0</v>
      </c>
      <c r="F101" s="571">
        <f t="shared" si="10"/>
        <v>0</v>
      </c>
      <c r="G101" s="572">
        <f t="shared" si="11"/>
        <v>0</v>
      </c>
      <c r="H101" s="572">
        <f>ROUND(G101*0%,0)</f>
        <v>0</v>
      </c>
      <c r="I101" s="573">
        <f t="shared" si="13"/>
        <v>0</v>
      </c>
    </row>
    <row r="102" spans="2:9">
      <c r="B102" s="611" t="s">
        <v>1462</v>
      </c>
      <c r="C102" s="612">
        <v>1</v>
      </c>
      <c r="D102" s="570">
        <f>2600/4</f>
        <v>650</v>
      </c>
      <c r="E102" s="610">
        <v>0</v>
      </c>
      <c r="F102" s="571">
        <f t="shared" si="10"/>
        <v>650</v>
      </c>
      <c r="G102" s="572">
        <f t="shared" si="11"/>
        <v>650</v>
      </c>
      <c r="H102" s="572">
        <f>ROUND(G102*0%,0)</f>
        <v>0</v>
      </c>
      <c r="I102" s="573">
        <f t="shared" si="13"/>
        <v>650</v>
      </c>
    </row>
    <row r="103" spans="2:9">
      <c r="B103" s="611" t="s">
        <v>1463</v>
      </c>
      <c r="C103" s="612">
        <v>1</v>
      </c>
      <c r="D103" s="570">
        <f>1800/4</f>
        <v>450</v>
      </c>
      <c r="E103" s="610">
        <v>0.16</v>
      </c>
      <c r="F103" s="571">
        <f t="shared" si="10"/>
        <v>450</v>
      </c>
      <c r="G103" s="572">
        <f t="shared" si="11"/>
        <v>450</v>
      </c>
      <c r="H103" s="572">
        <f t="shared" si="14"/>
        <v>72</v>
      </c>
      <c r="I103" s="573">
        <f t="shared" si="13"/>
        <v>522</v>
      </c>
    </row>
    <row r="104" spans="2:9">
      <c r="B104" s="611" t="s">
        <v>1440</v>
      </c>
      <c r="C104" s="612">
        <v>1</v>
      </c>
      <c r="D104" s="570">
        <f>1300/1.16</f>
        <v>1120.6896551724139</v>
      </c>
      <c r="E104" s="610">
        <v>0.16</v>
      </c>
      <c r="F104" s="571">
        <f t="shared" si="10"/>
        <v>1121</v>
      </c>
      <c r="G104" s="572">
        <f t="shared" si="11"/>
        <v>1121</v>
      </c>
      <c r="H104" s="572">
        <f t="shared" si="14"/>
        <v>179</v>
      </c>
      <c r="I104" s="573">
        <f t="shared" si="13"/>
        <v>1300</v>
      </c>
    </row>
    <row r="105" spans="2:9">
      <c r="B105" s="620" t="s">
        <v>1464</v>
      </c>
      <c r="C105" s="612">
        <v>1</v>
      </c>
      <c r="D105" s="570">
        <v>7400</v>
      </c>
      <c r="E105" s="610">
        <v>0</v>
      </c>
      <c r="F105" s="571">
        <f t="shared" si="10"/>
        <v>7400</v>
      </c>
      <c r="G105" s="572">
        <f t="shared" si="11"/>
        <v>7400</v>
      </c>
      <c r="H105" s="572">
        <f>ROUND(G105*0%,0)</f>
        <v>0</v>
      </c>
      <c r="I105" s="573">
        <f t="shared" si="13"/>
        <v>7400</v>
      </c>
    </row>
    <row r="106" spans="2:9">
      <c r="B106" s="620" t="s">
        <v>1465</v>
      </c>
      <c r="C106" s="612">
        <v>1</v>
      </c>
      <c r="D106" s="570"/>
      <c r="E106" s="610">
        <v>0</v>
      </c>
      <c r="F106" s="571">
        <f t="shared" si="10"/>
        <v>0</v>
      </c>
      <c r="G106" s="572">
        <f t="shared" si="11"/>
        <v>0</v>
      </c>
      <c r="H106" s="572">
        <f t="shared" ref="H106:H107" si="15">ROUND(G106*0%,0)</f>
        <v>0</v>
      </c>
      <c r="I106" s="573">
        <f t="shared" si="13"/>
        <v>0</v>
      </c>
    </row>
    <row r="107" spans="2:9">
      <c r="B107" s="620" t="s">
        <v>1466</v>
      </c>
      <c r="C107" s="612">
        <v>1</v>
      </c>
      <c r="D107" s="570">
        <f>3650/35</f>
        <v>104.28571428571429</v>
      </c>
      <c r="E107" s="610">
        <v>0</v>
      </c>
      <c r="F107" s="571">
        <f t="shared" si="10"/>
        <v>104</v>
      </c>
      <c r="G107" s="572">
        <f t="shared" si="11"/>
        <v>104</v>
      </c>
      <c r="H107" s="572">
        <f t="shared" si="15"/>
        <v>0</v>
      </c>
      <c r="I107" s="573">
        <f>ROUND(G107+H107,0)*35</f>
        <v>3640</v>
      </c>
    </row>
    <row r="108" spans="2:9">
      <c r="B108" s="611" t="s">
        <v>1467</v>
      </c>
      <c r="C108" s="612">
        <v>1</v>
      </c>
      <c r="D108" s="570">
        <f>4400/1.16</f>
        <v>3793.1034482758623</v>
      </c>
      <c r="E108" s="610">
        <v>0.16</v>
      </c>
      <c r="F108" s="571">
        <f t="shared" si="10"/>
        <v>3793</v>
      </c>
      <c r="G108" s="572">
        <f t="shared" si="11"/>
        <v>3793</v>
      </c>
      <c r="H108" s="572">
        <f t="shared" si="14"/>
        <v>607</v>
      </c>
      <c r="I108" s="573">
        <f t="shared" si="13"/>
        <v>4400</v>
      </c>
    </row>
    <row r="109" spans="2:9">
      <c r="B109" s="611" t="s">
        <v>1468</v>
      </c>
      <c r="C109" s="612">
        <v>1</v>
      </c>
      <c r="D109" s="570">
        <f>3100/1.16</f>
        <v>2672.4137931034484</v>
      </c>
      <c r="E109" s="610">
        <v>0.16</v>
      </c>
      <c r="F109" s="571">
        <f t="shared" si="10"/>
        <v>2673</v>
      </c>
      <c r="G109" s="572">
        <f t="shared" si="11"/>
        <v>2672</v>
      </c>
      <c r="H109" s="572">
        <f t="shared" si="14"/>
        <v>428</v>
      </c>
      <c r="I109" s="573">
        <f t="shared" si="13"/>
        <v>3100</v>
      </c>
    </row>
    <row r="110" spans="2:9">
      <c r="B110" s="611" t="s">
        <v>1469</v>
      </c>
      <c r="C110" s="612">
        <v>1</v>
      </c>
      <c r="D110" s="570">
        <v>1000</v>
      </c>
      <c r="E110" s="610">
        <v>0.16</v>
      </c>
      <c r="F110" s="571">
        <f t="shared" si="10"/>
        <v>1000</v>
      </c>
      <c r="G110" s="572">
        <f t="shared" si="11"/>
        <v>1000</v>
      </c>
      <c r="H110" s="572">
        <f t="shared" si="14"/>
        <v>160</v>
      </c>
      <c r="I110" s="573">
        <f>ROUND(G110+H110,0)</f>
        <v>1160</v>
      </c>
    </row>
    <row r="111" spans="2:9">
      <c r="B111" s="613" t="s">
        <v>1447</v>
      </c>
      <c r="C111" s="614">
        <v>1</v>
      </c>
      <c r="D111" s="570"/>
      <c r="E111" s="610">
        <v>0.16</v>
      </c>
      <c r="F111" s="571">
        <f t="shared" si="10"/>
        <v>0</v>
      </c>
      <c r="G111" s="572">
        <f t="shared" si="11"/>
        <v>0</v>
      </c>
      <c r="H111" s="572">
        <f t="shared" si="14"/>
        <v>0</v>
      </c>
      <c r="I111" s="573">
        <f t="shared" si="13"/>
        <v>0</v>
      </c>
    </row>
    <row r="112" spans="2:9">
      <c r="B112" s="613" t="s">
        <v>1475</v>
      </c>
      <c r="C112" s="614">
        <v>1</v>
      </c>
      <c r="D112" s="570">
        <f>(4400/225)*200</f>
        <v>3911.1111111111113</v>
      </c>
      <c r="E112" s="610">
        <v>0.16</v>
      </c>
      <c r="F112" s="571">
        <f t="shared" si="10"/>
        <v>3911</v>
      </c>
      <c r="G112" s="572">
        <f t="shared" si="11"/>
        <v>3911</v>
      </c>
      <c r="H112" s="572">
        <f t="shared" si="14"/>
        <v>626</v>
      </c>
      <c r="I112" s="573">
        <f t="shared" si="13"/>
        <v>4537</v>
      </c>
    </row>
    <row r="113" spans="2:9">
      <c r="B113" s="613" t="s">
        <v>1471</v>
      </c>
      <c r="C113" s="614">
        <v>1</v>
      </c>
      <c r="D113" s="570"/>
      <c r="E113" s="610">
        <v>0.16</v>
      </c>
      <c r="F113" s="571">
        <f t="shared" si="10"/>
        <v>0</v>
      </c>
      <c r="G113" s="572">
        <f t="shared" si="11"/>
        <v>0</v>
      </c>
      <c r="H113" s="572">
        <f t="shared" si="14"/>
        <v>0</v>
      </c>
      <c r="I113" s="573">
        <f t="shared" si="13"/>
        <v>0</v>
      </c>
    </row>
    <row r="114" spans="2:9">
      <c r="B114" s="613" t="s">
        <v>1450</v>
      </c>
      <c r="C114" s="614">
        <v>1</v>
      </c>
      <c r="D114" s="570"/>
      <c r="E114" s="610">
        <v>0.16</v>
      </c>
      <c r="F114" s="571">
        <f t="shared" si="10"/>
        <v>0</v>
      </c>
      <c r="G114" s="572">
        <f t="shared" si="11"/>
        <v>0</v>
      </c>
      <c r="H114" s="572">
        <f t="shared" si="14"/>
        <v>0</v>
      </c>
      <c r="I114" s="573">
        <f t="shared" si="13"/>
        <v>0</v>
      </c>
    </row>
    <row r="115" spans="2:9">
      <c r="B115" s="613" t="s">
        <v>1472</v>
      </c>
      <c r="C115" s="614">
        <v>1</v>
      </c>
      <c r="D115" s="570">
        <v>1400</v>
      </c>
      <c r="E115" s="610">
        <v>0.16</v>
      </c>
      <c r="F115" s="571">
        <f t="shared" si="10"/>
        <v>1400</v>
      </c>
      <c r="G115" s="572">
        <f t="shared" si="11"/>
        <v>1400</v>
      </c>
      <c r="H115" s="572">
        <f t="shared" si="14"/>
        <v>224</v>
      </c>
      <c r="I115" s="573">
        <f t="shared" si="13"/>
        <v>1624</v>
      </c>
    </row>
    <row r="116" spans="2:9" ht="13.5" thickBot="1">
      <c r="B116" s="616" t="s">
        <v>1452</v>
      </c>
      <c r="C116" s="617">
        <v>1</v>
      </c>
      <c r="D116" s="575"/>
      <c r="E116" s="621">
        <v>0.16</v>
      </c>
      <c r="F116" s="576">
        <f t="shared" si="10"/>
        <v>0</v>
      </c>
      <c r="G116" s="577">
        <f t="shared" si="11"/>
        <v>0</v>
      </c>
      <c r="H116" s="577">
        <f t="shared" si="14"/>
        <v>0</v>
      </c>
      <c r="I116" s="578">
        <f t="shared" si="13"/>
        <v>0</v>
      </c>
    </row>
    <row r="117" spans="2:9" ht="13.5" thickBot="1"/>
    <row r="118" spans="2:9" s="545" customFormat="1">
      <c r="B118" s="550"/>
      <c r="C118" s="551"/>
      <c r="D118" s="551"/>
      <c r="E118" s="552"/>
      <c r="F118" s="552"/>
      <c r="G118" s="553"/>
      <c r="H118" s="554"/>
      <c r="I118" s="555"/>
    </row>
    <row r="119" spans="2:9" s="545" customFormat="1">
      <c r="B119" s="556"/>
      <c r="C119" s="557"/>
      <c r="D119" s="557"/>
      <c r="E119" s="557"/>
      <c r="F119" s="557"/>
      <c r="G119" s="558"/>
      <c r="H119" s="558"/>
      <c r="I119" s="559"/>
    </row>
    <row r="120" spans="2:9" s="545" customFormat="1">
      <c r="B120" s="556"/>
      <c r="C120" s="557"/>
      <c r="D120" s="557"/>
      <c r="E120" s="557"/>
      <c r="F120" s="557"/>
      <c r="G120" s="557"/>
      <c r="H120" s="560"/>
      <c r="I120" s="559"/>
    </row>
    <row r="121" spans="2:9" s="545" customFormat="1">
      <c r="B121" s="556"/>
      <c r="C121" s="557"/>
      <c r="D121" s="557"/>
      <c r="E121" s="557"/>
      <c r="F121" s="557"/>
      <c r="G121" s="557"/>
      <c r="H121" s="560"/>
      <c r="I121" s="559"/>
    </row>
    <row r="122" spans="2:9" s="545" customFormat="1">
      <c r="B122" s="556"/>
      <c r="I122" s="561"/>
    </row>
    <row r="123" spans="2:9" s="545" customFormat="1">
      <c r="B123" s="556"/>
      <c r="I123" s="561"/>
    </row>
    <row r="124" spans="2:9" s="545" customFormat="1" ht="13.5" thickBot="1">
      <c r="B124" s="562"/>
      <c r="C124" s="563"/>
      <c r="D124" s="563"/>
      <c r="E124" s="563"/>
      <c r="F124" s="563"/>
      <c r="G124" s="563"/>
      <c r="H124" s="563"/>
      <c r="I124" s="564"/>
    </row>
    <row r="125" spans="2:9" s="545" customFormat="1">
      <c r="B125" s="1299" t="s">
        <v>1417</v>
      </c>
      <c r="C125" s="1300"/>
      <c r="D125" s="1300"/>
      <c r="E125" s="1300"/>
      <c r="F125" s="1300"/>
      <c r="G125" s="1300"/>
      <c r="H125" s="1300"/>
      <c r="I125" s="1301"/>
    </row>
    <row r="126" spans="2:9" s="545" customFormat="1">
      <c r="B126" s="1302"/>
      <c r="C126" s="1303"/>
      <c r="D126" s="1303"/>
      <c r="E126" s="1303"/>
      <c r="F126" s="1303"/>
      <c r="G126" s="1303"/>
      <c r="H126" s="1303"/>
      <c r="I126" s="1304"/>
    </row>
    <row r="127" spans="2:9" s="545" customFormat="1">
      <c r="B127" s="1295" t="s">
        <v>1476</v>
      </c>
      <c r="C127" s="1296"/>
      <c r="D127" s="1296"/>
      <c r="E127" s="1296"/>
      <c r="F127" s="1296" t="s">
        <v>1477</v>
      </c>
      <c r="G127" s="1296"/>
      <c r="H127" s="1309" t="s">
        <v>1478</v>
      </c>
      <c r="I127" s="1298"/>
    </row>
    <row r="128" spans="2:9" s="545" customFormat="1">
      <c r="B128" s="1305" t="s">
        <v>1421</v>
      </c>
      <c r="C128" s="1306"/>
      <c r="D128" s="1306"/>
      <c r="E128" s="1306"/>
      <c r="F128" s="1296" t="s">
        <v>1422</v>
      </c>
      <c r="G128" s="1296"/>
      <c r="H128" s="1307" t="s">
        <v>1423</v>
      </c>
      <c r="I128" s="1308"/>
    </row>
    <row r="129" spans="2:9" s="618" customFormat="1">
      <c r="B129" s="602"/>
      <c r="C129" s="603"/>
      <c r="D129" s="603"/>
      <c r="E129" s="603"/>
      <c r="F129" s="604"/>
      <c r="G129" s="604"/>
      <c r="H129" s="605"/>
      <c r="I129" s="606"/>
    </row>
    <row r="130" spans="2:9" s="545" customFormat="1">
      <c r="B130" s="582" t="s">
        <v>1510</v>
      </c>
      <c r="I130" s="561"/>
    </row>
    <row r="131" spans="2:9" s="545" customFormat="1">
      <c r="B131" s="582" t="s">
        <v>1511</v>
      </c>
      <c r="I131" s="561"/>
    </row>
    <row r="132" spans="2:9">
      <c r="B132" s="586"/>
      <c r="C132" s="587"/>
      <c r="D132" s="587"/>
      <c r="E132" s="587"/>
      <c r="F132" s="587"/>
      <c r="G132" s="587"/>
      <c r="H132" s="587"/>
      <c r="I132" s="607"/>
    </row>
    <row r="133" spans="2:9" ht="25.5">
      <c r="B133" s="565" t="s">
        <v>1424</v>
      </c>
      <c r="C133" s="566" t="s">
        <v>1425</v>
      </c>
      <c r="D133" s="566" t="s">
        <v>1426</v>
      </c>
      <c r="E133" s="566" t="s">
        <v>1427</v>
      </c>
      <c r="F133" s="566" t="s">
        <v>1479</v>
      </c>
      <c r="G133" s="566" t="s">
        <v>1429</v>
      </c>
      <c r="H133" s="566" t="s">
        <v>1430</v>
      </c>
      <c r="I133" s="567" t="s">
        <v>1431</v>
      </c>
    </row>
    <row r="134" spans="2:9">
      <c r="B134" s="609" t="s">
        <v>1458</v>
      </c>
      <c r="C134" s="569">
        <v>1</v>
      </c>
      <c r="D134" s="570">
        <v>1116</v>
      </c>
      <c r="E134" s="610">
        <v>0.16</v>
      </c>
      <c r="F134" s="571">
        <f>ROUND((E134+D134),0)</f>
        <v>1116</v>
      </c>
      <c r="G134" s="572">
        <f>ROUND(D134*C134,0)</f>
        <v>1116</v>
      </c>
      <c r="H134" s="572">
        <f>ROUND(G134*16%,0)</f>
        <v>179</v>
      </c>
      <c r="I134" s="573">
        <f>ROUND(G134+H134,0)</f>
        <v>1295</v>
      </c>
    </row>
    <row r="135" spans="2:9">
      <c r="B135" s="609" t="s">
        <v>1433</v>
      </c>
      <c r="C135" s="569">
        <v>1</v>
      </c>
      <c r="D135" s="570">
        <v>3100</v>
      </c>
      <c r="E135" s="610">
        <v>0.16</v>
      </c>
      <c r="F135" s="571">
        <f t="shared" ref="F135:F154" si="16">ROUND((E135+D135),0)</f>
        <v>3100</v>
      </c>
      <c r="G135" s="572">
        <f t="shared" ref="G135:G154" si="17">ROUND(D135*C135,0)</f>
        <v>3100</v>
      </c>
      <c r="H135" s="572">
        <f t="shared" ref="H135" si="18">ROUND(G135*16%,0)</f>
        <v>496</v>
      </c>
      <c r="I135" s="573">
        <f>ROUND(G135+H135,0)/6</f>
        <v>599.33333333333337</v>
      </c>
    </row>
    <row r="136" spans="2:9">
      <c r="B136" s="609" t="s">
        <v>1459</v>
      </c>
      <c r="C136" s="569">
        <v>1</v>
      </c>
      <c r="D136" s="570">
        <v>1158</v>
      </c>
      <c r="E136" s="610">
        <v>0</v>
      </c>
      <c r="F136" s="571">
        <f t="shared" si="16"/>
        <v>1158</v>
      </c>
      <c r="G136" s="572">
        <f t="shared" si="17"/>
        <v>1158</v>
      </c>
      <c r="H136" s="572">
        <f>ROUND(G136*0%,0)</f>
        <v>0</v>
      </c>
      <c r="I136" s="573">
        <f t="shared" ref="I136:I154" si="19">ROUND(G136+H136,0)</f>
        <v>1158</v>
      </c>
    </row>
    <row r="137" spans="2:9">
      <c r="B137" s="609" t="s">
        <v>1435</v>
      </c>
      <c r="C137" s="584">
        <v>1</v>
      </c>
      <c r="D137" s="570">
        <v>1800</v>
      </c>
      <c r="E137" s="610">
        <v>0.16</v>
      </c>
      <c r="F137" s="571">
        <f t="shared" si="16"/>
        <v>1800</v>
      </c>
      <c r="G137" s="572">
        <f t="shared" si="17"/>
        <v>1800</v>
      </c>
      <c r="H137" s="572">
        <f t="shared" ref="H137:H154" si="20">ROUND(G137*16%,0)</f>
        <v>288</v>
      </c>
      <c r="I137" s="573">
        <f t="shared" si="19"/>
        <v>2088</v>
      </c>
    </row>
    <row r="138" spans="2:9" ht="25.5">
      <c r="B138" s="619" t="s">
        <v>1460</v>
      </c>
      <c r="C138" s="583">
        <v>1</v>
      </c>
      <c r="D138" s="570">
        <v>1000</v>
      </c>
      <c r="E138" s="610">
        <v>0</v>
      </c>
      <c r="F138" s="571">
        <f t="shared" si="16"/>
        <v>1000</v>
      </c>
      <c r="G138" s="572">
        <f t="shared" si="17"/>
        <v>1000</v>
      </c>
      <c r="H138" s="572">
        <f>ROUND(G138*0%,0)</f>
        <v>0</v>
      </c>
      <c r="I138" s="573">
        <f t="shared" si="19"/>
        <v>1000</v>
      </c>
    </row>
    <row r="139" spans="2:9" ht="25.5">
      <c r="B139" s="619" t="s">
        <v>1461</v>
      </c>
      <c r="C139" s="583">
        <v>1</v>
      </c>
      <c r="D139" s="570">
        <v>1000</v>
      </c>
      <c r="E139" s="610">
        <v>0</v>
      </c>
      <c r="F139" s="571">
        <f t="shared" si="16"/>
        <v>1000</v>
      </c>
      <c r="G139" s="572">
        <f t="shared" si="17"/>
        <v>1000</v>
      </c>
      <c r="H139" s="572">
        <f>ROUND(G139*0%,0)</f>
        <v>0</v>
      </c>
      <c r="I139" s="573">
        <f t="shared" si="19"/>
        <v>1000</v>
      </c>
    </row>
    <row r="140" spans="2:9">
      <c r="B140" s="611" t="s">
        <v>1462</v>
      </c>
      <c r="C140" s="612">
        <v>1</v>
      </c>
      <c r="D140" s="570">
        <v>550</v>
      </c>
      <c r="E140" s="610">
        <v>0</v>
      </c>
      <c r="F140" s="571">
        <f t="shared" si="16"/>
        <v>550</v>
      </c>
      <c r="G140" s="572">
        <f t="shared" si="17"/>
        <v>550</v>
      </c>
      <c r="H140" s="572">
        <f>ROUND(G140*0%,0)</f>
        <v>0</v>
      </c>
      <c r="I140" s="573">
        <f t="shared" si="19"/>
        <v>550</v>
      </c>
    </row>
    <row r="141" spans="2:9">
      <c r="B141" s="611" t="s">
        <v>1463</v>
      </c>
      <c r="C141" s="612">
        <v>1</v>
      </c>
      <c r="D141" s="570">
        <v>280</v>
      </c>
      <c r="E141" s="610">
        <v>0.16</v>
      </c>
      <c r="F141" s="571">
        <f t="shared" si="16"/>
        <v>280</v>
      </c>
      <c r="G141" s="572">
        <f t="shared" si="17"/>
        <v>280</v>
      </c>
      <c r="H141" s="572">
        <f t="shared" si="20"/>
        <v>45</v>
      </c>
      <c r="I141" s="573">
        <f t="shared" si="19"/>
        <v>325</v>
      </c>
    </row>
    <row r="142" spans="2:9">
      <c r="B142" s="611" t="s">
        <v>1440</v>
      </c>
      <c r="C142" s="612">
        <v>1</v>
      </c>
      <c r="D142" s="570">
        <v>380</v>
      </c>
      <c r="E142" s="610">
        <v>0.16</v>
      </c>
      <c r="F142" s="571">
        <f t="shared" si="16"/>
        <v>380</v>
      </c>
      <c r="G142" s="572">
        <f t="shared" si="17"/>
        <v>380</v>
      </c>
      <c r="H142" s="572">
        <f t="shared" si="20"/>
        <v>61</v>
      </c>
      <c r="I142" s="573">
        <f t="shared" si="19"/>
        <v>441</v>
      </c>
    </row>
    <row r="143" spans="2:9">
      <c r="B143" s="620" t="s">
        <v>1464</v>
      </c>
      <c r="C143" s="612">
        <v>1</v>
      </c>
      <c r="D143" s="570">
        <v>3500</v>
      </c>
      <c r="E143" s="610">
        <v>0</v>
      </c>
      <c r="F143" s="571">
        <f t="shared" si="16"/>
        <v>3500</v>
      </c>
      <c r="G143" s="572">
        <f t="shared" si="17"/>
        <v>3500</v>
      </c>
      <c r="H143" s="572">
        <f>ROUND(G143*0%,0)</f>
        <v>0</v>
      </c>
      <c r="I143" s="573">
        <f t="shared" si="19"/>
        <v>3500</v>
      </c>
    </row>
    <row r="144" spans="2:9">
      <c r="B144" s="620" t="s">
        <v>1465</v>
      </c>
      <c r="C144" s="612">
        <v>1</v>
      </c>
      <c r="D144" s="570">
        <v>2100</v>
      </c>
      <c r="E144" s="610">
        <v>0</v>
      </c>
      <c r="F144" s="571">
        <f t="shared" si="16"/>
        <v>2100</v>
      </c>
      <c r="G144" s="572">
        <f t="shared" si="17"/>
        <v>2100</v>
      </c>
      <c r="H144" s="572">
        <f t="shared" ref="H144:H145" si="21">ROUND(G144*0%,0)</f>
        <v>0</v>
      </c>
      <c r="I144" s="573">
        <f t="shared" si="19"/>
        <v>2100</v>
      </c>
    </row>
    <row r="145" spans="2:9">
      <c r="B145" s="620" t="s">
        <v>1466</v>
      </c>
      <c r="C145" s="612">
        <v>1</v>
      </c>
      <c r="D145" s="570">
        <f>1800/35</f>
        <v>51.428571428571431</v>
      </c>
      <c r="E145" s="610">
        <v>0</v>
      </c>
      <c r="F145" s="571">
        <f t="shared" si="16"/>
        <v>51</v>
      </c>
      <c r="G145" s="572">
        <f t="shared" si="17"/>
        <v>51</v>
      </c>
      <c r="H145" s="572">
        <f t="shared" si="21"/>
        <v>0</v>
      </c>
      <c r="I145" s="573">
        <f>ROUND(G145+H145,0)*35</f>
        <v>1785</v>
      </c>
    </row>
    <row r="146" spans="2:9">
      <c r="B146" s="611" t="s">
        <v>1467</v>
      </c>
      <c r="C146" s="612">
        <v>1</v>
      </c>
      <c r="D146" s="570">
        <v>1370</v>
      </c>
      <c r="E146" s="610">
        <v>0.16</v>
      </c>
      <c r="F146" s="571">
        <f t="shared" si="16"/>
        <v>1370</v>
      </c>
      <c r="G146" s="572">
        <f t="shared" si="17"/>
        <v>1370</v>
      </c>
      <c r="H146" s="572">
        <f t="shared" si="20"/>
        <v>219</v>
      </c>
      <c r="I146" s="573">
        <f t="shared" si="19"/>
        <v>1589</v>
      </c>
    </row>
    <row r="147" spans="2:9">
      <c r="B147" s="611" t="s">
        <v>1468</v>
      </c>
      <c r="C147" s="612">
        <v>1</v>
      </c>
      <c r="D147" s="570">
        <v>700</v>
      </c>
      <c r="E147" s="610">
        <v>0.16</v>
      </c>
      <c r="F147" s="571">
        <f t="shared" si="16"/>
        <v>700</v>
      </c>
      <c r="G147" s="572">
        <f t="shared" si="17"/>
        <v>700</v>
      </c>
      <c r="H147" s="572">
        <f t="shared" si="20"/>
        <v>112</v>
      </c>
      <c r="I147" s="573">
        <f t="shared" si="19"/>
        <v>812</v>
      </c>
    </row>
    <row r="148" spans="2:9">
      <c r="B148" s="611" t="s">
        <v>1469</v>
      </c>
      <c r="C148" s="612">
        <v>1</v>
      </c>
      <c r="D148" s="570">
        <v>1150</v>
      </c>
      <c r="E148" s="610">
        <v>0.16</v>
      </c>
      <c r="F148" s="571">
        <f t="shared" si="16"/>
        <v>1150</v>
      </c>
      <c r="G148" s="572">
        <f t="shared" si="17"/>
        <v>1150</v>
      </c>
      <c r="H148" s="572">
        <f t="shared" si="20"/>
        <v>184</v>
      </c>
      <c r="I148" s="573">
        <f t="shared" si="19"/>
        <v>1334</v>
      </c>
    </row>
    <row r="149" spans="2:9">
      <c r="B149" s="613" t="s">
        <v>1447</v>
      </c>
      <c r="C149" s="614">
        <v>1</v>
      </c>
      <c r="D149" s="570">
        <v>160</v>
      </c>
      <c r="E149" s="610">
        <v>0.16</v>
      </c>
      <c r="F149" s="571">
        <f t="shared" si="16"/>
        <v>160</v>
      </c>
      <c r="G149" s="572">
        <f t="shared" si="17"/>
        <v>160</v>
      </c>
      <c r="H149" s="572">
        <f t="shared" si="20"/>
        <v>26</v>
      </c>
      <c r="I149" s="573">
        <f t="shared" si="19"/>
        <v>186</v>
      </c>
    </row>
    <row r="150" spans="2:9">
      <c r="B150" s="613" t="s">
        <v>1470</v>
      </c>
      <c r="C150" s="614">
        <v>1</v>
      </c>
      <c r="D150" s="570">
        <v>2100</v>
      </c>
      <c r="E150" s="610">
        <v>0.16</v>
      </c>
      <c r="F150" s="571">
        <f t="shared" si="16"/>
        <v>2100</v>
      </c>
      <c r="G150" s="572">
        <f t="shared" si="17"/>
        <v>2100</v>
      </c>
      <c r="H150" s="572">
        <f t="shared" si="20"/>
        <v>336</v>
      </c>
      <c r="I150" s="573">
        <f t="shared" si="19"/>
        <v>2436</v>
      </c>
    </row>
    <row r="151" spans="2:9">
      <c r="B151" s="613" t="s">
        <v>1471</v>
      </c>
      <c r="C151" s="614">
        <v>1</v>
      </c>
      <c r="D151" s="570">
        <v>700</v>
      </c>
      <c r="E151" s="610">
        <v>0.16</v>
      </c>
      <c r="F151" s="571">
        <f t="shared" si="16"/>
        <v>700</v>
      </c>
      <c r="G151" s="572">
        <f t="shared" si="17"/>
        <v>700</v>
      </c>
      <c r="H151" s="572">
        <f t="shared" si="20"/>
        <v>112</v>
      </c>
      <c r="I151" s="573">
        <f t="shared" si="19"/>
        <v>812</v>
      </c>
    </row>
    <row r="152" spans="2:9">
      <c r="B152" s="613" t="s">
        <v>1450</v>
      </c>
      <c r="C152" s="614">
        <v>1</v>
      </c>
      <c r="D152" s="570">
        <v>9850</v>
      </c>
      <c r="E152" s="610">
        <v>0.16</v>
      </c>
      <c r="F152" s="571">
        <f t="shared" si="16"/>
        <v>9850</v>
      </c>
      <c r="G152" s="572">
        <f t="shared" si="17"/>
        <v>9850</v>
      </c>
      <c r="H152" s="572">
        <f t="shared" si="20"/>
        <v>1576</v>
      </c>
      <c r="I152" s="573">
        <f t="shared" si="19"/>
        <v>11426</v>
      </c>
    </row>
    <row r="153" spans="2:9">
      <c r="B153" s="613" t="s">
        <v>1472</v>
      </c>
      <c r="C153" s="614">
        <v>1</v>
      </c>
      <c r="D153" s="570">
        <v>800</v>
      </c>
      <c r="E153" s="610">
        <v>0.16</v>
      </c>
      <c r="F153" s="571">
        <f t="shared" si="16"/>
        <v>800</v>
      </c>
      <c r="G153" s="572">
        <f t="shared" si="17"/>
        <v>800</v>
      </c>
      <c r="H153" s="572">
        <f t="shared" si="20"/>
        <v>128</v>
      </c>
      <c r="I153" s="573">
        <f t="shared" si="19"/>
        <v>928</v>
      </c>
    </row>
    <row r="154" spans="2:9" ht="13.5" thickBot="1">
      <c r="B154" s="616" t="s">
        <v>1452</v>
      </c>
      <c r="C154" s="617">
        <v>1</v>
      </c>
      <c r="D154" s="575">
        <v>1550</v>
      </c>
      <c r="E154" s="621">
        <v>0.16</v>
      </c>
      <c r="F154" s="576">
        <f t="shared" si="16"/>
        <v>1550</v>
      </c>
      <c r="G154" s="577">
        <f t="shared" si="17"/>
        <v>1550</v>
      </c>
      <c r="H154" s="577">
        <f t="shared" si="20"/>
        <v>248</v>
      </c>
      <c r="I154" s="578">
        <f t="shared" si="19"/>
        <v>1798</v>
      </c>
    </row>
  </sheetData>
  <sheetProtection password="CC59" sheet="1" objects="1" scenarios="1"/>
  <mergeCells count="28">
    <mergeCell ref="B87:I88"/>
    <mergeCell ref="B89:E89"/>
    <mergeCell ref="F89:G89"/>
    <mergeCell ref="H89:I89"/>
    <mergeCell ref="B128:E128"/>
    <mergeCell ref="F128:G128"/>
    <mergeCell ref="H128:I128"/>
    <mergeCell ref="B90:E90"/>
    <mergeCell ref="F90:G90"/>
    <mergeCell ref="H90:I90"/>
    <mergeCell ref="B125:I126"/>
    <mergeCell ref="B127:E127"/>
    <mergeCell ref="F127:G127"/>
    <mergeCell ref="H127:I127"/>
    <mergeCell ref="B48:I49"/>
    <mergeCell ref="B50:E50"/>
    <mergeCell ref="F50:G50"/>
    <mergeCell ref="H50:I50"/>
    <mergeCell ref="B51:E51"/>
    <mergeCell ref="F51:G51"/>
    <mergeCell ref="H51:I51"/>
    <mergeCell ref="B12:E12"/>
    <mergeCell ref="F12:G12"/>
    <mergeCell ref="H12:I12"/>
    <mergeCell ref="B10:I11"/>
    <mergeCell ref="B13:E13"/>
    <mergeCell ref="F13:G13"/>
    <mergeCell ref="H13:I13"/>
  </mergeCells>
  <hyperlinks>
    <hyperlink ref="H50" r:id="rId1"/>
    <hyperlink ref="H89" r:id="rId2" display="TEL:3103301760"/>
    <hyperlink ref="H127" r:id="rId3"/>
    <hyperlink ref="B1" location="'Hoja índice'!A1" display="Indice"/>
  </hyperlinks>
  <pageMargins left="0.7" right="0.7" top="0.75" bottom="0.75" header="0.3" footer="0.3"/>
  <drawing r:id="rId4"/>
</worksheet>
</file>

<file path=xl/worksheets/sheet13.xml><?xml version="1.0" encoding="utf-8"?>
<worksheet xmlns="http://schemas.openxmlformats.org/spreadsheetml/2006/main" xmlns:r="http://schemas.openxmlformats.org/officeDocument/2006/relationships">
  <sheetPr codeName="Hoja10">
    <tabColor theme="4"/>
  </sheetPr>
  <dimension ref="B1:L38"/>
  <sheetViews>
    <sheetView showGridLines="0" zoomScale="70" zoomScaleNormal="70" workbookViewId="0">
      <selection activeCell="B1" sqref="B1"/>
    </sheetView>
  </sheetViews>
  <sheetFormatPr baseColWidth="10" defaultRowHeight="12.75"/>
  <cols>
    <col min="1" max="1" width="4.5703125" style="568" customWidth="1"/>
    <col min="2" max="2" width="31" style="568" customWidth="1"/>
    <col min="3" max="3" width="44.140625" style="568" customWidth="1"/>
    <col min="4" max="4" width="15" style="568" customWidth="1"/>
    <col min="5" max="5" width="13.42578125" style="568" customWidth="1"/>
    <col min="6" max="6" width="17.140625" style="568" customWidth="1"/>
    <col min="7" max="7" width="14.42578125" style="568" customWidth="1"/>
    <col min="8" max="8" width="14" style="568" customWidth="1"/>
    <col min="9" max="9" width="16.140625" style="568" customWidth="1"/>
    <col min="10" max="10" width="17.140625" style="568" customWidth="1"/>
    <col min="11" max="11" width="12.42578125" style="568" customWidth="1"/>
    <col min="12" max="12" width="16.140625" style="568" customWidth="1"/>
    <col min="13" max="16384" width="11.42578125" style="568"/>
  </cols>
  <sheetData>
    <row r="1" spans="2:12" s="545" customFormat="1" ht="15">
      <c r="B1" s="4" t="s">
        <v>2343</v>
      </c>
    </row>
    <row r="2" spans="2:12" s="545" customFormat="1" ht="13.5" thickBot="1">
      <c r="B2" s="546"/>
      <c r="C2" s="547"/>
      <c r="D2" s="547"/>
      <c r="E2" s="547"/>
      <c r="F2" s="547"/>
      <c r="G2" s="547"/>
      <c r="H2" s="548"/>
      <c r="I2" s="548"/>
      <c r="J2" s="548"/>
      <c r="K2" s="548"/>
      <c r="L2" s="549"/>
    </row>
    <row r="3" spans="2:12" s="545" customFormat="1">
      <c r="B3" s="550"/>
      <c r="C3" s="551"/>
      <c r="D3" s="551"/>
      <c r="E3" s="551"/>
      <c r="F3" s="551"/>
      <c r="G3" s="551"/>
      <c r="H3" s="552"/>
      <c r="I3" s="552"/>
      <c r="J3" s="553"/>
      <c r="K3" s="554"/>
      <c r="L3" s="555"/>
    </row>
    <row r="4" spans="2:12" s="545" customFormat="1">
      <c r="B4" s="556"/>
      <c r="C4" s="557"/>
      <c r="D4" s="557"/>
      <c r="E4" s="557"/>
      <c r="F4" s="557"/>
      <c r="G4" s="557"/>
      <c r="H4" s="557"/>
      <c r="I4" s="557"/>
      <c r="J4" s="558"/>
      <c r="K4" s="558"/>
      <c r="L4" s="559"/>
    </row>
    <row r="5" spans="2:12" s="545" customFormat="1">
      <c r="B5" s="556"/>
      <c r="C5" s="557"/>
      <c r="D5" s="557"/>
      <c r="E5" s="557"/>
      <c r="F5" s="557"/>
      <c r="G5" s="557"/>
      <c r="H5" s="557"/>
      <c r="I5" s="557"/>
      <c r="J5" s="557"/>
      <c r="K5" s="560"/>
      <c r="L5" s="559"/>
    </row>
    <row r="6" spans="2:12" s="545" customFormat="1">
      <c r="B6" s="556"/>
      <c r="C6" s="557"/>
      <c r="D6" s="557"/>
      <c r="E6" s="557"/>
      <c r="F6" s="557"/>
      <c r="G6" s="557"/>
      <c r="H6" s="557"/>
      <c r="I6" s="557"/>
      <c r="J6" s="557"/>
      <c r="K6" s="560"/>
      <c r="L6" s="559"/>
    </row>
    <row r="7" spans="2:12" s="545" customFormat="1">
      <c r="B7" s="556"/>
      <c r="L7" s="561"/>
    </row>
    <row r="8" spans="2:12" s="545" customFormat="1">
      <c r="B8" s="556"/>
      <c r="L8" s="561"/>
    </row>
    <row r="9" spans="2:12" s="545" customFormat="1" ht="13.5" thickBot="1">
      <c r="B9" s="562"/>
      <c r="C9" s="563"/>
      <c r="D9" s="563"/>
      <c r="E9" s="563"/>
      <c r="F9" s="563"/>
      <c r="G9" s="563"/>
      <c r="H9" s="563"/>
      <c r="I9" s="563"/>
      <c r="J9" s="563"/>
      <c r="K9" s="563"/>
      <c r="L9" s="564"/>
    </row>
    <row r="10" spans="2:12" s="545" customFormat="1">
      <c r="B10" s="1299" t="s">
        <v>1480</v>
      </c>
      <c r="C10" s="1300"/>
      <c r="D10" s="1300"/>
      <c r="E10" s="1300"/>
      <c r="F10" s="1300"/>
      <c r="G10" s="1300"/>
      <c r="H10" s="1300"/>
      <c r="I10" s="1300"/>
      <c r="J10" s="1300"/>
      <c r="K10" s="1300"/>
      <c r="L10" s="1300"/>
    </row>
    <row r="11" spans="2:12" s="545" customFormat="1">
      <c r="B11" s="1302"/>
      <c r="C11" s="1303"/>
      <c r="D11" s="1303"/>
      <c r="E11" s="1303"/>
      <c r="F11" s="1303"/>
      <c r="G11" s="1303"/>
      <c r="H11" s="1303"/>
      <c r="I11" s="1303"/>
      <c r="J11" s="1303"/>
      <c r="K11" s="1303"/>
      <c r="L11" s="1303"/>
    </row>
    <row r="12" spans="2:12" s="545" customFormat="1">
      <c r="B12" s="582" t="s">
        <v>1510</v>
      </c>
    </row>
    <row r="13" spans="2:12" ht="25.5">
      <c r="B13" s="566" t="s">
        <v>1424</v>
      </c>
      <c r="C13" s="566" t="s">
        <v>1481</v>
      </c>
      <c r="D13" s="566" t="s">
        <v>1482</v>
      </c>
      <c r="E13" s="566" t="s">
        <v>1483</v>
      </c>
      <c r="F13" s="566" t="s">
        <v>1484</v>
      </c>
      <c r="G13" s="566" t="s">
        <v>1485</v>
      </c>
      <c r="H13" s="566" t="s">
        <v>1427</v>
      </c>
      <c r="I13" s="566" t="s">
        <v>1486</v>
      </c>
      <c r="J13" s="566" t="s">
        <v>1429</v>
      </c>
      <c r="K13" s="566" t="s">
        <v>1430</v>
      </c>
      <c r="L13" s="566" t="s">
        <v>1431</v>
      </c>
    </row>
    <row r="14" spans="2:12">
      <c r="B14" s="1314" t="s">
        <v>1487</v>
      </c>
      <c r="C14" s="1317" t="s">
        <v>1488</v>
      </c>
      <c r="D14" s="1317" t="s">
        <v>1489</v>
      </c>
      <c r="E14" s="583" t="s">
        <v>1490</v>
      </c>
      <c r="F14" s="584">
        <v>1</v>
      </c>
      <c r="G14" s="570">
        <f>(39900)*'Parametros Generales'!C27</f>
        <v>39900</v>
      </c>
      <c r="H14" s="571">
        <f t="shared" ref="H14:H19" si="0">ROUND(G14*16%,0)</f>
        <v>6384</v>
      </c>
      <c r="I14" s="571">
        <f t="shared" ref="I14:I19" si="1">ROUND((H14+G14),0)</f>
        <v>46284</v>
      </c>
      <c r="J14" s="572">
        <f t="shared" ref="J14:J19" si="2">ROUND(G14*F14,0)</f>
        <v>39900</v>
      </c>
      <c r="K14" s="572">
        <f t="shared" ref="K14:K19" si="3">ROUND(J14*16%,0)</f>
        <v>6384</v>
      </c>
      <c r="L14" s="585">
        <f t="shared" ref="L14:L19" si="4">ROUND(J14+K14,0)</f>
        <v>46284</v>
      </c>
    </row>
    <row r="15" spans="2:12">
      <c r="B15" s="1315"/>
      <c r="C15" s="1318"/>
      <c r="D15" s="1319"/>
      <c r="E15" s="583" t="s">
        <v>1491</v>
      </c>
      <c r="F15" s="584">
        <v>1</v>
      </c>
      <c r="G15" s="570">
        <f>(49900)*'Parametros Generales'!C27</f>
        <v>49900</v>
      </c>
      <c r="H15" s="571">
        <f t="shared" si="0"/>
        <v>7984</v>
      </c>
      <c r="I15" s="571">
        <f t="shared" si="1"/>
        <v>57884</v>
      </c>
      <c r="J15" s="572">
        <f t="shared" si="2"/>
        <v>49900</v>
      </c>
      <c r="K15" s="572">
        <f t="shared" si="3"/>
        <v>7984</v>
      </c>
      <c r="L15" s="585">
        <f t="shared" si="4"/>
        <v>57884</v>
      </c>
    </row>
    <row r="16" spans="2:12">
      <c r="B16" s="1315"/>
      <c r="C16" s="1318"/>
      <c r="D16" s="1314" t="s">
        <v>1492</v>
      </c>
      <c r="E16" s="583" t="s">
        <v>1490</v>
      </c>
      <c r="F16" s="584">
        <v>1</v>
      </c>
      <c r="G16" s="570">
        <f>(31100)*'Parametros Generales'!C27</f>
        <v>31100</v>
      </c>
      <c r="H16" s="571">
        <f t="shared" si="0"/>
        <v>4976</v>
      </c>
      <c r="I16" s="571">
        <f t="shared" si="1"/>
        <v>36076</v>
      </c>
      <c r="J16" s="572">
        <f t="shared" si="2"/>
        <v>31100</v>
      </c>
      <c r="K16" s="572">
        <f t="shared" si="3"/>
        <v>4976</v>
      </c>
      <c r="L16" s="585">
        <f t="shared" si="4"/>
        <v>36076</v>
      </c>
    </row>
    <row r="17" spans="2:12">
      <c r="B17" s="1315"/>
      <c r="C17" s="1318"/>
      <c r="D17" s="1316"/>
      <c r="E17" s="583" t="s">
        <v>1493</v>
      </c>
      <c r="F17" s="584">
        <v>1</v>
      </c>
      <c r="G17" s="570">
        <f>(41499)*'Parametros Generales'!C27</f>
        <v>41499</v>
      </c>
      <c r="H17" s="571">
        <f t="shared" si="0"/>
        <v>6640</v>
      </c>
      <c r="I17" s="571">
        <f t="shared" si="1"/>
        <v>48139</v>
      </c>
      <c r="J17" s="572">
        <f t="shared" si="2"/>
        <v>41499</v>
      </c>
      <c r="K17" s="572">
        <f t="shared" si="3"/>
        <v>6640</v>
      </c>
      <c r="L17" s="585">
        <f t="shared" si="4"/>
        <v>48139</v>
      </c>
    </row>
    <row r="18" spans="2:12">
      <c r="B18" s="1315"/>
      <c r="C18" s="1318"/>
      <c r="D18" s="1314" t="s">
        <v>1494</v>
      </c>
      <c r="E18" s="583" t="s">
        <v>1490</v>
      </c>
      <c r="F18" s="584">
        <v>1</v>
      </c>
      <c r="G18" s="570">
        <f>(30948)*'Parametros Generales'!C27</f>
        <v>30948</v>
      </c>
      <c r="H18" s="571">
        <f t="shared" si="0"/>
        <v>4952</v>
      </c>
      <c r="I18" s="571">
        <f t="shared" si="1"/>
        <v>35900</v>
      </c>
      <c r="J18" s="572">
        <f t="shared" si="2"/>
        <v>30948</v>
      </c>
      <c r="K18" s="572">
        <f t="shared" si="3"/>
        <v>4952</v>
      </c>
      <c r="L18" s="585">
        <f t="shared" si="4"/>
        <v>35900</v>
      </c>
    </row>
    <row r="19" spans="2:12">
      <c r="B19" s="1316"/>
      <c r="C19" s="1319"/>
      <c r="D19" s="1316"/>
      <c r="E19" s="583" t="s">
        <v>1491</v>
      </c>
      <c r="F19" s="584">
        <v>1</v>
      </c>
      <c r="G19" s="570">
        <f>(37845)*'Parametros Generales'!C27</f>
        <v>37845</v>
      </c>
      <c r="H19" s="571">
        <f t="shared" si="0"/>
        <v>6055</v>
      </c>
      <c r="I19" s="571">
        <f t="shared" si="1"/>
        <v>43900</v>
      </c>
      <c r="J19" s="572">
        <f t="shared" si="2"/>
        <v>37845</v>
      </c>
      <c r="K19" s="572">
        <f t="shared" si="3"/>
        <v>6055</v>
      </c>
      <c r="L19" s="585">
        <f t="shared" si="4"/>
        <v>43900</v>
      </c>
    </row>
    <row r="22" spans="2:12" s="545" customFormat="1"/>
    <row r="23" spans="2:12" s="545" customFormat="1" ht="13.5" thickBot="1">
      <c r="B23" s="546"/>
      <c r="C23" s="547"/>
      <c r="D23" s="547"/>
      <c r="E23" s="547"/>
      <c r="F23" s="547"/>
      <c r="G23" s="547"/>
      <c r="H23" s="548"/>
      <c r="I23" s="548"/>
      <c r="J23" s="548"/>
      <c r="K23" s="548"/>
      <c r="L23" s="549"/>
    </row>
    <row r="24" spans="2:12" s="545" customFormat="1">
      <c r="B24" s="550"/>
      <c r="C24" s="551"/>
      <c r="D24" s="551"/>
      <c r="E24" s="551"/>
      <c r="F24" s="551"/>
      <c r="G24" s="551"/>
      <c r="H24" s="552"/>
      <c r="I24" s="552"/>
      <c r="J24" s="553"/>
      <c r="K24" s="554"/>
      <c r="L24" s="555"/>
    </row>
    <row r="25" spans="2:12" s="545" customFormat="1">
      <c r="B25" s="556"/>
      <c r="C25" s="557"/>
      <c r="D25" s="557"/>
      <c r="E25" s="557"/>
      <c r="F25" s="557"/>
      <c r="G25" s="557"/>
      <c r="H25" s="557"/>
      <c r="I25" s="557"/>
      <c r="J25" s="558"/>
      <c r="K25" s="558"/>
      <c r="L25" s="559"/>
    </row>
    <row r="26" spans="2:12" s="545" customFormat="1">
      <c r="B26" s="556"/>
      <c r="C26" s="557"/>
      <c r="D26" s="557"/>
      <c r="E26" s="557"/>
      <c r="F26" s="557"/>
      <c r="G26" s="557"/>
      <c r="H26" s="557"/>
      <c r="I26" s="557"/>
      <c r="J26" s="557"/>
      <c r="K26" s="560"/>
      <c r="L26" s="559"/>
    </row>
    <row r="27" spans="2:12" s="545" customFormat="1">
      <c r="B27" s="556"/>
      <c r="C27" s="557"/>
      <c r="D27" s="557"/>
      <c r="E27" s="557"/>
      <c r="F27" s="557"/>
      <c r="G27" s="557"/>
      <c r="H27" s="557"/>
      <c r="I27" s="557"/>
      <c r="J27" s="557"/>
      <c r="K27" s="560"/>
      <c r="L27" s="559"/>
    </row>
    <row r="28" spans="2:12" s="545" customFormat="1">
      <c r="B28" s="556"/>
      <c r="L28" s="561"/>
    </row>
    <row r="29" spans="2:12" s="545" customFormat="1">
      <c r="B29" s="556"/>
      <c r="L29" s="561"/>
    </row>
    <row r="30" spans="2:12" s="545" customFormat="1" ht="13.5" thickBot="1">
      <c r="B30" s="562"/>
      <c r="C30" s="563"/>
      <c r="D30" s="563"/>
      <c r="E30" s="563"/>
      <c r="F30" s="563"/>
      <c r="G30" s="563"/>
      <c r="H30" s="563"/>
      <c r="I30" s="563"/>
      <c r="J30" s="563"/>
      <c r="K30" s="563"/>
      <c r="L30" s="564"/>
    </row>
    <row r="31" spans="2:12" s="545" customFormat="1">
      <c r="B31" s="1299" t="s">
        <v>1495</v>
      </c>
      <c r="C31" s="1300"/>
      <c r="D31" s="1300"/>
      <c r="E31" s="1300"/>
      <c r="F31" s="1300"/>
      <c r="G31" s="1300"/>
      <c r="H31" s="1300"/>
      <c r="I31" s="1300"/>
      <c r="J31" s="1300"/>
      <c r="K31" s="1300"/>
      <c r="L31" s="1300"/>
    </row>
    <row r="32" spans="2:12" s="545" customFormat="1">
      <c r="B32" s="1302"/>
      <c r="C32" s="1303"/>
      <c r="D32" s="1303"/>
      <c r="E32" s="1303"/>
      <c r="F32" s="1303"/>
      <c r="G32" s="1303"/>
      <c r="H32" s="1303"/>
      <c r="I32" s="1303"/>
      <c r="J32" s="1303"/>
      <c r="K32" s="1303"/>
      <c r="L32" s="1303"/>
    </row>
    <row r="33" spans="2:12" s="545" customFormat="1">
      <c r="B33" s="582" t="s">
        <v>1510</v>
      </c>
    </row>
    <row r="34" spans="2:12">
      <c r="B34" s="586"/>
      <c r="C34" s="587"/>
      <c r="D34" s="587"/>
      <c r="E34" s="587"/>
      <c r="F34" s="587"/>
      <c r="G34" s="587"/>
      <c r="H34" s="587"/>
      <c r="I34" s="587"/>
      <c r="J34" s="587"/>
      <c r="K34" s="587"/>
      <c r="L34" s="587"/>
    </row>
    <row r="35" spans="2:12" ht="51">
      <c r="B35" s="566" t="s">
        <v>1424</v>
      </c>
      <c r="C35" s="566" t="s">
        <v>1481</v>
      </c>
      <c r="D35" s="566" t="s">
        <v>1482</v>
      </c>
      <c r="E35" s="589" t="s">
        <v>1483</v>
      </c>
      <c r="F35" s="566" t="s">
        <v>1484</v>
      </c>
      <c r="G35" s="566" t="s">
        <v>1496</v>
      </c>
      <c r="H35" s="566" t="s">
        <v>1427</v>
      </c>
      <c r="I35" s="566" t="s">
        <v>1486</v>
      </c>
      <c r="J35" s="566" t="s">
        <v>1429</v>
      </c>
      <c r="K35" s="566" t="s">
        <v>1430</v>
      </c>
      <c r="L35" s="566" t="s">
        <v>1431</v>
      </c>
    </row>
    <row r="36" spans="2:12" ht="25.5">
      <c r="B36" s="1310" t="s">
        <v>1497</v>
      </c>
      <c r="C36" s="1311" t="s">
        <v>1498</v>
      </c>
      <c r="D36" s="583" t="s">
        <v>1489</v>
      </c>
      <c r="E36" s="588" t="s">
        <v>1499</v>
      </c>
      <c r="F36" s="584">
        <v>1</v>
      </c>
      <c r="G36" s="570">
        <f>(39900)*'Parametros Generales'!C27</f>
        <v>39900</v>
      </c>
      <c r="H36" s="571">
        <f t="shared" ref="H36:H38" si="5">ROUND(G36*16%,0)</f>
        <v>6384</v>
      </c>
      <c r="I36" s="571">
        <f>ROUND((H36+G36),0)</f>
        <v>46284</v>
      </c>
      <c r="J36" s="572">
        <f t="shared" ref="J36:J38" si="6">ROUND(G36*F36,0)</f>
        <v>39900</v>
      </c>
      <c r="K36" s="572">
        <f t="shared" ref="K36:K38" si="7">ROUND(J36*16%,0)</f>
        <v>6384</v>
      </c>
      <c r="L36" s="585">
        <f t="shared" ref="L36:L38" si="8">ROUND(J36+K36,0)</f>
        <v>46284</v>
      </c>
    </row>
    <row r="37" spans="2:12" ht="25.5">
      <c r="B37" s="1310"/>
      <c r="C37" s="1312"/>
      <c r="D37" s="917" t="s">
        <v>1492</v>
      </c>
      <c r="E37" s="918" t="s">
        <v>1500</v>
      </c>
      <c r="F37" s="917">
        <v>1</v>
      </c>
      <c r="G37" s="919">
        <f>(33900)*'Parametros Generales'!C27</f>
        <v>33900</v>
      </c>
      <c r="H37" s="920">
        <f t="shared" si="5"/>
        <v>5424</v>
      </c>
      <c r="I37" s="920">
        <f>ROUND((H37+G37),0)</f>
        <v>39324</v>
      </c>
      <c r="J37" s="572">
        <f t="shared" si="6"/>
        <v>33900</v>
      </c>
      <c r="K37" s="572">
        <f t="shared" si="7"/>
        <v>5424</v>
      </c>
      <c r="L37" s="585">
        <f t="shared" si="8"/>
        <v>39324</v>
      </c>
    </row>
    <row r="38" spans="2:12" ht="25.5">
      <c r="B38" s="1310"/>
      <c r="C38" s="1313"/>
      <c r="D38" s="584" t="s">
        <v>1494</v>
      </c>
      <c r="E38" s="588" t="s">
        <v>1501</v>
      </c>
      <c r="F38" s="584">
        <v>1</v>
      </c>
      <c r="G38" s="570">
        <f>(39127)*'Parametros Generales'!C27</f>
        <v>39127</v>
      </c>
      <c r="H38" s="571">
        <f t="shared" si="5"/>
        <v>6260</v>
      </c>
      <c r="I38" s="571">
        <f>ROUND((H38+G38),0)</f>
        <v>45387</v>
      </c>
      <c r="J38" s="572">
        <f t="shared" si="6"/>
        <v>39127</v>
      </c>
      <c r="K38" s="572">
        <f t="shared" si="7"/>
        <v>6260</v>
      </c>
      <c r="L38" s="585">
        <f t="shared" si="8"/>
        <v>45387</v>
      </c>
    </row>
  </sheetData>
  <sheetProtection password="CC59" sheet="1" objects="1" scenarios="1"/>
  <mergeCells count="9">
    <mergeCell ref="B31:L32"/>
    <mergeCell ref="B36:B38"/>
    <mergeCell ref="C36:C38"/>
    <mergeCell ref="B10:L11"/>
    <mergeCell ref="B14:B19"/>
    <mergeCell ref="C14:C19"/>
    <mergeCell ref="D14:D15"/>
    <mergeCell ref="D16:D17"/>
    <mergeCell ref="D18:D19"/>
  </mergeCells>
  <hyperlinks>
    <hyperlink ref="B1" location="'Hoja índice'!A1" display="I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sheetPr codeName="Sheet12">
    <tabColor theme="4"/>
  </sheetPr>
  <dimension ref="B1:K20"/>
  <sheetViews>
    <sheetView showGridLines="0" tabSelected="1" zoomScale="85" zoomScaleNormal="85" workbookViewId="0">
      <selection activeCell="C15" sqref="C15"/>
    </sheetView>
  </sheetViews>
  <sheetFormatPr baseColWidth="10" defaultRowHeight="12.75"/>
  <cols>
    <col min="1" max="1" width="4.5703125" style="568" customWidth="1"/>
    <col min="2" max="2" width="26.28515625" style="568" customWidth="1"/>
    <col min="3" max="3" width="60.28515625" style="568" customWidth="1"/>
    <col min="4" max="4" width="18.140625" style="568" customWidth="1"/>
    <col min="5" max="5" width="15" style="568" customWidth="1"/>
    <col min="6" max="6" width="14.42578125" style="568" customWidth="1"/>
    <col min="7" max="7" width="14" style="568" customWidth="1"/>
    <col min="8" max="8" width="16.140625" style="568" customWidth="1"/>
    <col min="9" max="9" width="17.140625" style="568" customWidth="1"/>
    <col min="10" max="10" width="13" style="568" bestFit="1" customWidth="1"/>
    <col min="11" max="11" width="16.140625" style="568" customWidth="1"/>
    <col min="12" max="16384" width="11.42578125" style="568"/>
  </cols>
  <sheetData>
    <row r="1" spans="2:11" s="545" customFormat="1" ht="15">
      <c r="B1" s="4" t="s">
        <v>2343</v>
      </c>
    </row>
    <row r="2" spans="2:11" s="545" customFormat="1" ht="13.5" thickBot="1">
      <c r="B2" s="546"/>
      <c r="C2" s="547"/>
      <c r="D2" s="547"/>
      <c r="E2" s="547"/>
      <c r="F2" s="547"/>
      <c r="G2" s="548"/>
      <c r="H2" s="548"/>
      <c r="I2" s="548"/>
      <c r="J2" s="548"/>
      <c r="K2" s="549"/>
    </row>
    <row r="3" spans="2:11" s="545" customFormat="1">
      <c r="B3" s="550"/>
      <c r="C3" s="551"/>
      <c r="D3" s="551"/>
      <c r="E3" s="551"/>
      <c r="F3" s="551"/>
      <c r="G3" s="552"/>
      <c r="H3" s="552"/>
      <c r="I3" s="553"/>
      <c r="J3" s="554"/>
      <c r="K3" s="555"/>
    </row>
    <row r="4" spans="2:11" s="545" customFormat="1">
      <c r="B4" s="556"/>
      <c r="C4" s="557"/>
      <c r="D4" s="557"/>
      <c r="E4" s="557"/>
      <c r="F4" s="557"/>
      <c r="G4" s="557"/>
      <c r="H4" s="557"/>
      <c r="I4" s="558"/>
      <c r="J4" s="558"/>
      <c r="K4" s="559"/>
    </row>
    <row r="5" spans="2:11" s="545" customFormat="1">
      <c r="B5" s="556"/>
      <c r="C5" s="557"/>
      <c r="D5" s="557"/>
      <c r="E5" s="557"/>
      <c r="F5" s="557"/>
      <c r="G5" s="557"/>
      <c r="H5" s="557"/>
      <c r="I5" s="557"/>
      <c r="J5" s="560"/>
      <c r="K5" s="559"/>
    </row>
    <row r="6" spans="2:11" s="545" customFormat="1">
      <c r="B6" s="556"/>
      <c r="C6" s="557"/>
      <c r="D6" s="557"/>
      <c r="E6" s="557"/>
      <c r="F6" s="557"/>
      <c r="G6" s="557"/>
      <c r="H6" s="557"/>
      <c r="I6" s="557"/>
      <c r="J6" s="560"/>
      <c r="K6" s="559"/>
    </row>
    <row r="7" spans="2:11" s="545" customFormat="1">
      <c r="B7" s="556"/>
      <c r="K7" s="561"/>
    </row>
    <row r="8" spans="2:11" s="545" customFormat="1">
      <c r="B8" s="556"/>
      <c r="K8" s="561"/>
    </row>
    <row r="9" spans="2:11" s="545" customFormat="1" ht="13.5" thickBot="1">
      <c r="B9" s="562"/>
      <c r="C9" s="563"/>
      <c r="D9" s="563"/>
      <c r="E9" s="563"/>
      <c r="F9" s="563"/>
      <c r="G9" s="563"/>
      <c r="H9" s="563"/>
      <c r="I9" s="563"/>
      <c r="J9" s="563"/>
      <c r="K9" s="564"/>
    </row>
    <row r="10" spans="2:11" s="545" customFormat="1">
      <c r="B10" s="1324" t="s">
        <v>1502</v>
      </c>
      <c r="C10" s="1325"/>
      <c r="D10" s="1325"/>
      <c r="E10" s="1325"/>
      <c r="F10" s="1325"/>
      <c r="G10" s="1325"/>
      <c r="H10" s="1325"/>
      <c r="I10" s="1325"/>
      <c r="J10" s="1325"/>
      <c r="K10" s="1326"/>
    </row>
    <row r="11" spans="2:11" s="545" customFormat="1">
      <c r="B11" s="1324"/>
      <c r="C11" s="1325"/>
      <c r="D11" s="1325"/>
      <c r="E11" s="1325"/>
      <c r="F11" s="1325"/>
      <c r="G11" s="1325"/>
      <c r="H11" s="1325"/>
      <c r="I11" s="1325"/>
      <c r="J11" s="1325"/>
      <c r="K11" s="1326"/>
    </row>
    <row r="12" spans="2:11" s="545" customFormat="1">
      <c r="B12" s="1327"/>
      <c r="C12" s="1328"/>
      <c r="D12" s="1328"/>
      <c r="E12" s="1328"/>
      <c r="F12" s="1328"/>
      <c r="G12" s="1328"/>
      <c r="H12" s="1328"/>
      <c r="I12" s="1328"/>
      <c r="J12" s="1328"/>
      <c r="K12" s="1329"/>
    </row>
    <row r="13" spans="2:11" s="545" customFormat="1">
      <c r="B13" s="1330" t="s">
        <v>1510</v>
      </c>
      <c r="C13" s="1331"/>
      <c r="D13" s="1331"/>
      <c r="E13" s="1331"/>
      <c r="F13" s="1331"/>
      <c r="G13" s="1331"/>
      <c r="H13" s="1331"/>
      <c r="I13" s="1331"/>
      <c r="J13" s="1331"/>
      <c r="K13" s="1332"/>
    </row>
    <row r="14" spans="2:11" ht="25.5">
      <c r="B14" s="565" t="s">
        <v>1424</v>
      </c>
      <c r="C14" s="566" t="s">
        <v>1481</v>
      </c>
      <c r="D14" s="581" t="s">
        <v>1482</v>
      </c>
      <c r="E14" s="566" t="s">
        <v>1484</v>
      </c>
      <c r="F14" s="566" t="s">
        <v>1503</v>
      </c>
      <c r="G14" s="566" t="s">
        <v>1427</v>
      </c>
      <c r="H14" s="566" t="s">
        <v>1479</v>
      </c>
      <c r="I14" s="566" t="s">
        <v>1429</v>
      </c>
      <c r="J14" s="566" t="s">
        <v>1430</v>
      </c>
      <c r="K14" s="567" t="s">
        <v>1431</v>
      </c>
    </row>
    <row r="15" spans="2:11" ht="153">
      <c r="B15" s="1320" t="s">
        <v>1504</v>
      </c>
      <c r="C15" s="579" t="s">
        <v>1505</v>
      </c>
      <c r="D15" s="1333" t="s">
        <v>1506</v>
      </c>
      <c r="E15" s="569">
        <v>2200</v>
      </c>
      <c r="F15" s="570">
        <f>(49000)*'Parametros Generales'!C27</f>
        <v>49000</v>
      </c>
      <c r="G15" s="571">
        <f t="shared" ref="G15:G20" si="0">ROUND(F15*16%,0)</f>
        <v>7840</v>
      </c>
      <c r="H15" s="571">
        <f t="shared" ref="H15:H20" si="1">ROUND((G15+F15),0)</f>
        <v>56840</v>
      </c>
      <c r="I15" s="572">
        <f t="shared" ref="I15:I20" si="2">ROUND(F15*E15,0)</f>
        <v>107800000</v>
      </c>
      <c r="J15" s="572">
        <f t="shared" ref="J15:J20" si="3">ROUND(I15*16%,0)</f>
        <v>17248000</v>
      </c>
      <c r="K15" s="573">
        <f>ROUND(I15+J15,0)</f>
        <v>125048000</v>
      </c>
    </row>
    <row r="16" spans="2:11" ht="51.75" thickBot="1">
      <c r="B16" s="1321"/>
      <c r="C16" s="580" t="s">
        <v>1507</v>
      </c>
      <c r="D16" s="1323"/>
      <c r="E16" s="574">
        <v>2200</v>
      </c>
      <c r="F16" s="575">
        <f>(43000)*'Parametros Generales'!C27</f>
        <v>43000</v>
      </c>
      <c r="G16" s="576">
        <f t="shared" si="0"/>
        <v>6880</v>
      </c>
      <c r="H16" s="576">
        <f t="shared" si="1"/>
        <v>49880</v>
      </c>
      <c r="I16" s="577">
        <f t="shared" si="2"/>
        <v>94600000</v>
      </c>
      <c r="J16" s="577">
        <f t="shared" si="3"/>
        <v>15136000</v>
      </c>
      <c r="K16" s="578">
        <f t="shared" ref="K16:K20" si="4">ROUND(I16+J16,0)</f>
        <v>109736000</v>
      </c>
    </row>
    <row r="17" spans="2:11" ht="153">
      <c r="B17" s="1320" t="s">
        <v>1504</v>
      </c>
      <c r="C17" s="579" t="s">
        <v>1505</v>
      </c>
      <c r="D17" s="1322" t="s">
        <v>1508</v>
      </c>
      <c r="E17" s="569">
        <v>2200</v>
      </c>
      <c r="F17" s="570">
        <f>(35000)*'Parametros Generales'!C27</f>
        <v>35000</v>
      </c>
      <c r="G17" s="571">
        <f t="shared" si="0"/>
        <v>5600</v>
      </c>
      <c r="H17" s="571">
        <f t="shared" si="1"/>
        <v>40600</v>
      </c>
      <c r="I17" s="572">
        <f t="shared" si="2"/>
        <v>77000000</v>
      </c>
      <c r="J17" s="572">
        <f t="shared" si="3"/>
        <v>12320000</v>
      </c>
      <c r="K17" s="573">
        <f t="shared" si="4"/>
        <v>89320000</v>
      </c>
    </row>
    <row r="18" spans="2:11" ht="51.75" thickBot="1">
      <c r="B18" s="1321"/>
      <c r="C18" s="580" t="s">
        <v>1507</v>
      </c>
      <c r="D18" s="1323"/>
      <c r="E18" s="574">
        <v>2200</v>
      </c>
      <c r="F18" s="575">
        <f>(32000)*'Parametros Generales'!C27</f>
        <v>32000</v>
      </c>
      <c r="G18" s="576">
        <f t="shared" si="0"/>
        <v>5120</v>
      </c>
      <c r="H18" s="576">
        <f t="shared" si="1"/>
        <v>37120</v>
      </c>
      <c r="I18" s="577">
        <f t="shared" si="2"/>
        <v>70400000</v>
      </c>
      <c r="J18" s="577">
        <f t="shared" si="3"/>
        <v>11264000</v>
      </c>
      <c r="K18" s="578">
        <f t="shared" si="4"/>
        <v>81664000</v>
      </c>
    </row>
    <row r="19" spans="2:11" ht="153">
      <c r="B19" s="1320" t="s">
        <v>1504</v>
      </c>
      <c r="C19" s="579" t="s">
        <v>1505</v>
      </c>
      <c r="D19" s="1322" t="s">
        <v>1509</v>
      </c>
      <c r="E19" s="569">
        <v>2200</v>
      </c>
      <c r="F19" s="570">
        <f>(32000)*'Parametros Generales'!C27</f>
        <v>32000</v>
      </c>
      <c r="G19" s="571">
        <f t="shared" si="0"/>
        <v>5120</v>
      </c>
      <c r="H19" s="571">
        <f t="shared" si="1"/>
        <v>37120</v>
      </c>
      <c r="I19" s="572">
        <f t="shared" si="2"/>
        <v>70400000</v>
      </c>
      <c r="J19" s="572">
        <f t="shared" si="3"/>
        <v>11264000</v>
      </c>
      <c r="K19" s="573">
        <f t="shared" si="4"/>
        <v>81664000</v>
      </c>
    </row>
    <row r="20" spans="2:11" ht="51.75" thickBot="1">
      <c r="B20" s="1321"/>
      <c r="C20" s="580" t="s">
        <v>1507</v>
      </c>
      <c r="D20" s="1323"/>
      <c r="E20" s="574">
        <v>2200</v>
      </c>
      <c r="F20" s="575">
        <f>(29000)*'Parametros Generales'!C27</f>
        <v>29000</v>
      </c>
      <c r="G20" s="576">
        <f t="shared" si="0"/>
        <v>4640</v>
      </c>
      <c r="H20" s="576">
        <f t="shared" si="1"/>
        <v>33640</v>
      </c>
      <c r="I20" s="577">
        <f t="shared" si="2"/>
        <v>63800000</v>
      </c>
      <c r="J20" s="577">
        <f t="shared" si="3"/>
        <v>10208000</v>
      </c>
      <c r="K20" s="578">
        <f t="shared" si="4"/>
        <v>74008000</v>
      </c>
    </row>
  </sheetData>
  <sheetProtection password="CC59" sheet="1" objects="1" scenarios="1"/>
  <mergeCells count="8">
    <mergeCell ref="B19:B20"/>
    <mergeCell ref="D19:D20"/>
    <mergeCell ref="B10:K12"/>
    <mergeCell ref="B13:K13"/>
    <mergeCell ref="B15:B16"/>
    <mergeCell ref="D15:D16"/>
    <mergeCell ref="B17:B18"/>
    <mergeCell ref="D17:D18"/>
  </mergeCells>
  <hyperlinks>
    <hyperlink ref="B1" location="'Hoja índice'!A1" display="Indic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Hoja1">
    <tabColor theme="4"/>
  </sheetPr>
  <dimension ref="A1:W154"/>
  <sheetViews>
    <sheetView showGridLines="0" zoomScaleNormal="100" workbookViewId="0">
      <selection activeCell="B1" sqref="B1"/>
    </sheetView>
  </sheetViews>
  <sheetFormatPr baseColWidth="10" defaultColWidth="0" defaultRowHeight="22.5" customHeight="1" zeroHeight="1"/>
  <cols>
    <col min="1" max="1" width="2.7109375" style="627" customWidth="1"/>
    <col min="2" max="2" width="46.7109375" style="627" customWidth="1"/>
    <col min="3" max="3" width="15" style="627" bestFit="1" customWidth="1"/>
    <col min="4" max="6" width="11.42578125" style="627" customWidth="1"/>
    <col min="7" max="7" width="12" style="627" bestFit="1" customWidth="1"/>
    <col min="8" max="9" width="11.42578125" style="627" customWidth="1"/>
    <col min="10" max="10" width="12.7109375" style="627" customWidth="1"/>
    <col min="11" max="18" width="11.42578125" style="627" customWidth="1"/>
    <col min="19" max="19" width="3.5703125" style="627" customWidth="1"/>
    <col min="20" max="23" width="0" style="627" hidden="1" customWidth="1"/>
    <col min="24" max="16384" width="11.42578125" style="627" hidden="1"/>
  </cols>
  <sheetData>
    <row r="1" spans="2:11" ht="12.75" customHeight="1" thickBot="1">
      <c r="B1" s="4" t="s">
        <v>2343</v>
      </c>
    </row>
    <row r="2" spans="2:11" ht="22.5" customHeight="1" thickBot="1">
      <c r="B2" s="1164" t="s">
        <v>2377</v>
      </c>
      <c r="C2" s="1165"/>
      <c r="D2" s="1165"/>
      <c r="E2" s="1165"/>
      <c r="F2" s="1165"/>
      <c r="G2" s="1165"/>
      <c r="H2" s="1165"/>
      <c r="I2" s="1165"/>
      <c r="J2" s="1166"/>
    </row>
    <row r="3" spans="2:11" ht="6.75" customHeight="1"/>
    <row r="4" spans="2:11" ht="22.5" customHeight="1">
      <c r="B4" s="661" t="s">
        <v>1593</v>
      </c>
    </row>
    <row r="5" spans="2:11" ht="6.75" customHeight="1" thickBot="1"/>
    <row r="6" spans="2:11" ht="17.25" thickBot="1">
      <c r="B6" s="895" t="s">
        <v>1210</v>
      </c>
      <c r="C6" s="891">
        <v>5</v>
      </c>
      <c r="F6" s="1181" t="s">
        <v>1592</v>
      </c>
      <c r="G6" s="1182"/>
      <c r="H6" s="1182"/>
      <c r="I6" s="1182"/>
      <c r="J6" s="1183"/>
    </row>
    <row r="7" spans="2:11" ht="16.5">
      <c r="B7" s="898" t="s">
        <v>2354</v>
      </c>
      <c r="C7" s="892">
        <f>+C6*20</f>
        <v>100</v>
      </c>
      <c r="F7" s="653" t="s">
        <v>1331</v>
      </c>
      <c r="G7" s="651"/>
      <c r="H7" s="651"/>
      <c r="I7" s="656">
        <v>2</v>
      </c>
      <c r="J7" s="647">
        <f>+IF($I$7=1,MAX('Cot Int y Cel'!L36:L38),IF($I$7=2,MIN('Cot Int y Cel'!L36:L38),IF(I7=3,AVERAGE('Cot Int y Cel'!L36:L38),GEOMEAN('Cot Int y Cel'!L36:L38))))</f>
        <v>39324</v>
      </c>
      <c r="K7" s="921" t="s">
        <v>2357</v>
      </c>
    </row>
    <row r="8" spans="2:11" ht="16.5">
      <c r="B8" s="898" t="s">
        <v>756</v>
      </c>
      <c r="C8" s="893">
        <v>25</v>
      </c>
      <c r="F8" s="654" t="s">
        <v>1516</v>
      </c>
      <c r="G8" s="650"/>
      <c r="H8" s="650"/>
      <c r="I8" s="657">
        <v>2</v>
      </c>
      <c r="J8" s="648">
        <f>+IF(F8=$B$146,(IF(I8=1,MAX('Cot Int y Cel'!L15,'Cot Int y Cel'!L17,'Cot Int y Cel'!L19),IF(I8=2,MIN('Cot Int y Cel'!L15,'Cot Int y Cel'!L17,'Cot Int y Cel'!L19),IF(I8=3,AVERAGE('Cot Int y Cel'!L15,'Cot Int y Cel'!L17,'Cot Int y Cel'!L19),GEOMEAN('Cot Int y Cel'!L15,'Cot Int y Cel'!L17,'Cot Int y Cel'!L19))))),(IF(I8=1,MAX('Cot Int y Cel'!L14,'Cot Int y Cel'!L16,'Cot Int y Cel'!L18),IF(I8=2,MIN('Cot Int y Cel'!L14,'Cot Int y Cel'!L16,'Cot Int y Cel'!L18),IF(I8=3,AVERAGE('Cot Int y Cel'!L14,'Cot Int y Cel'!L16,'Cot Int y Cel'!L18),GEOMEAN('Cot Int y Cel'!L14,'Cot Int y Cel'!L16,'Cot Int y Cel'!L18))))))</f>
        <v>35900</v>
      </c>
    </row>
    <row r="9" spans="2:11" ht="16.5">
      <c r="B9" s="898" t="s">
        <v>1209</v>
      </c>
      <c r="C9" s="893">
        <v>4</v>
      </c>
      <c r="F9" s="654" t="s">
        <v>1336</v>
      </c>
      <c r="G9" s="650"/>
      <c r="H9" s="650"/>
      <c r="I9" s="657"/>
      <c r="J9" s="648">
        <f>(97381.8181818182)*C27</f>
        <v>97381.818181818206</v>
      </c>
    </row>
    <row r="10" spans="2:11" ht="16.5">
      <c r="B10" s="899" t="s">
        <v>1589</v>
      </c>
      <c r="C10" s="893">
        <v>8</v>
      </c>
      <c r="F10" s="654" t="s">
        <v>1337</v>
      </c>
      <c r="G10" s="650"/>
      <c r="H10" s="650"/>
      <c r="I10" s="657"/>
      <c r="J10" s="648">
        <f>+'Cot. Refrig. '!D57</f>
        <v>1228.2082306168022</v>
      </c>
    </row>
    <row r="11" spans="2:11" ht="17.25" thickBot="1">
      <c r="B11" s="900" t="s">
        <v>2355</v>
      </c>
      <c r="C11" s="894">
        <v>12</v>
      </c>
      <c r="F11" s="655" t="s">
        <v>1519</v>
      </c>
      <c r="G11" s="652"/>
      <c r="H11" s="652"/>
      <c r="I11" s="658">
        <v>2</v>
      </c>
      <c r="J11" s="649">
        <f>+IF(F11=$B$148,(IF(I11=1,MAX('Cot. Chalecos'!H15,'Cot. Chalecos'!H17,'Cot. Chalecos'!H19),IF(I11=2,MIN('Cot. Chalecos'!H15,'Cot. Chalecos'!H17,'Cot. Chalecos'!H19),IF(I11=3,AVERAGE('Cot. Chalecos'!H15,'Cot. Chalecos'!H17,'Cot. Chalecos'!H19),GEOMEAN('Cot. Chalecos'!H15,'Cot. Chalecos'!H17,'Cot. Chalecos'!H19))))),(IF(I11=1,MAX('Cot. Chalecos'!H16,'Cot. Chalecos'!H18,'Cot. Chalecos'!H20),IF(I11=2,MIN('Cot. Chalecos'!H16,'Cot. Chalecos'!H18,'Cot. Chalecos'!H20),IF(I11=3,AVERAGE('Cot. Chalecos'!H16,'Cot. Chalecos'!H18,'Cot. Chalecos'!H20),GEOMEAN('Cot. Chalecos'!H16,'Cot. Chalecos'!H18,'Cot. Chalecos'!H20))))))</f>
        <v>33640</v>
      </c>
    </row>
    <row r="12" spans="2:11" ht="22.5" customHeight="1" thickBot="1"/>
    <row r="13" spans="2:11" ht="27.75" customHeight="1" thickBot="1">
      <c r="B13" s="1181" t="s">
        <v>1212</v>
      </c>
      <c r="C13" s="1182"/>
      <c r="D13" s="1183"/>
      <c r="F13" s="1184" t="s">
        <v>1590</v>
      </c>
      <c r="G13" s="1185"/>
      <c r="H13" s="1185"/>
      <c r="I13" s="1186"/>
      <c r="J13" s="667" t="s">
        <v>1591</v>
      </c>
    </row>
    <row r="14" spans="2:11" ht="16.5">
      <c r="B14" s="643">
        <v>1</v>
      </c>
      <c r="C14" s="630">
        <v>2000</v>
      </c>
      <c r="D14" s="909">
        <v>0.4</v>
      </c>
      <c r="F14" s="664" t="s">
        <v>1327</v>
      </c>
      <c r="G14" s="634"/>
      <c r="H14" s="634"/>
      <c r="I14" s="665"/>
      <c r="J14" s="666">
        <v>1</v>
      </c>
    </row>
    <row r="15" spans="2:11" ht="16.5">
      <c r="B15" s="644">
        <f>+C14+1</f>
        <v>2001</v>
      </c>
      <c r="C15" s="631">
        <f>+C14+3000</f>
        <v>5000</v>
      </c>
      <c r="D15" s="910">
        <v>0.6</v>
      </c>
      <c r="F15" s="662" t="s">
        <v>1328</v>
      </c>
      <c r="G15" s="650"/>
      <c r="H15" s="650"/>
      <c r="I15" s="657"/>
      <c r="J15" s="660">
        <v>1</v>
      </c>
    </row>
    <row r="16" spans="2:11" ht="17.25" thickBot="1">
      <c r="B16" s="644">
        <f>+C15+1</f>
        <v>5001</v>
      </c>
      <c r="C16" s="631">
        <f>+C15+4000</f>
        <v>9000</v>
      </c>
      <c r="D16" s="910">
        <v>0.8</v>
      </c>
      <c r="F16" s="663" t="s">
        <v>2356</v>
      </c>
      <c r="G16" s="652"/>
      <c r="H16" s="652"/>
      <c r="I16" s="658"/>
      <c r="J16" s="916">
        <v>2</v>
      </c>
      <c r="K16" s="921" t="s">
        <v>2381</v>
      </c>
    </row>
    <row r="17" spans="2:13" ht="17.25" thickBot="1">
      <c r="B17" s="645">
        <v>9001</v>
      </c>
      <c r="C17" s="896" t="s">
        <v>2342</v>
      </c>
      <c r="D17" s="911">
        <v>1</v>
      </c>
    </row>
    <row r="18" spans="2:13" ht="11.25" customHeight="1"/>
    <row r="19" spans="2:13" ht="22.5" customHeight="1">
      <c r="B19" s="661" t="s">
        <v>2350</v>
      </c>
    </row>
    <row r="20" spans="2:13" ht="11.25" customHeight="1" thickBot="1"/>
    <row r="21" spans="2:13" ht="22.5" customHeight="1" thickBot="1">
      <c r="B21" s="711" t="s">
        <v>1520</v>
      </c>
      <c r="C21" s="712"/>
      <c r="D21" s="712"/>
      <c r="E21" s="712"/>
      <c r="F21" s="712"/>
      <c r="G21" s="712"/>
      <c r="H21" s="712"/>
      <c r="I21" s="712"/>
      <c r="J21" s="713"/>
    </row>
    <row r="22" spans="2:13" ht="8.25" customHeight="1"/>
    <row r="23" spans="2:13" ht="17.25" thickBot="1">
      <c r="D23" s="718">
        <v>1</v>
      </c>
      <c r="E23" s="846">
        <f>D23+1</f>
        <v>2</v>
      </c>
      <c r="F23" s="846">
        <f>E23+1</f>
        <v>3</v>
      </c>
      <c r="G23" s="846">
        <f t="shared" ref="G23:M23" si="0">F23+1</f>
        <v>4</v>
      </c>
      <c r="H23" s="846">
        <f t="shared" si="0"/>
        <v>5</v>
      </c>
      <c r="I23" s="846">
        <f t="shared" si="0"/>
        <v>6</v>
      </c>
      <c r="J23" s="846">
        <f t="shared" si="0"/>
        <v>7</v>
      </c>
      <c r="K23" s="846">
        <f t="shared" si="0"/>
        <v>8</v>
      </c>
      <c r="L23" s="846">
        <f t="shared" si="0"/>
        <v>9</v>
      </c>
      <c r="M23" s="846">
        <f t="shared" si="0"/>
        <v>10</v>
      </c>
    </row>
    <row r="24" spans="2:13" ht="17.25" thickBot="1">
      <c r="E24" s="690" t="s">
        <v>1521</v>
      </c>
      <c r="F24" s="691" t="s">
        <v>1522</v>
      </c>
      <c r="G24" s="692" t="s">
        <v>1523</v>
      </c>
      <c r="H24" s="691" t="s">
        <v>1524</v>
      </c>
      <c r="I24" s="692" t="s">
        <v>1523</v>
      </c>
      <c r="J24" s="691" t="s">
        <v>1525</v>
      </c>
      <c r="K24" s="692" t="s">
        <v>1523</v>
      </c>
      <c r="L24" s="691" t="s">
        <v>35</v>
      </c>
      <c r="M24" s="693" t="s">
        <v>1523</v>
      </c>
    </row>
    <row r="25" spans="2:13" ht="16.5">
      <c r="B25" s="678" t="s">
        <v>1594</v>
      </c>
      <c r="C25" s="674"/>
      <c r="D25" s="719">
        <v>1</v>
      </c>
      <c r="E25" s="686">
        <v>2013</v>
      </c>
      <c r="F25" s="687">
        <v>0</v>
      </c>
      <c r="G25" s="695">
        <v>1</v>
      </c>
      <c r="H25" s="687">
        <v>0</v>
      </c>
      <c r="I25" s="695">
        <v>1</v>
      </c>
      <c r="J25" s="687">
        <v>0</v>
      </c>
      <c r="K25" s="695">
        <v>1</v>
      </c>
      <c r="L25" s="687">
        <v>0</v>
      </c>
      <c r="M25" s="694">
        <v>1</v>
      </c>
    </row>
    <row r="26" spans="2:13" ht="16.5">
      <c r="B26" s="897">
        <v>1</v>
      </c>
      <c r="C26" s="903" t="s">
        <v>1526</v>
      </c>
      <c r="D26" s="719">
        <v>2</v>
      </c>
      <c r="E26" s="681">
        <f>E25+1</f>
        <v>2014</v>
      </c>
      <c r="F26" s="843">
        <f>D33</f>
        <v>3.6560000000000002E-2</v>
      </c>
      <c r="G26" s="633">
        <f>(G25+F26)</f>
        <v>1.0365599999999999</v>
      </c>
      <c r="H26" s="843">
        <f>F33</f>
        <v>4.4777999999999998E-2</v>
      </c>
      <c r="I26" s="633">
        <f>(I25+H26)</f>
        <v>1.044778</v>
      </c>
      <c r="J26" s="843">
        <f>G36</f>
        <v>0.03</v>
      </c>
      <c r="K26" s="633">
        <f>(K25+J26)</f>
        <v>1.03</v>
      </c>
      <c r="L26" s="843">
        <f>+J33</f>
        <v>5.0260000000000006E-2</v>
      </c>
      <c r="M26" s="682">
        <f>(M25+L26)</f>
        <v>1.05026</v>
      </c>
    </row>
    <row r="27" spans="2:13" ht="16.5">
      <c r="B27" s="720" t="s">
        <v>2345</v>
      </c>
      <c r="C27" s="901">
        <f>VLOOKUP($B$26,$D$25:K30,G$23,FALSE)</f>
        <v>1</v>
      </c>
      <c r="D27" s="719">
        <v>3</v>
      </c>
      <c r="E27" s="681">
        <f t="shared" ref="E27:E30" si="1">E26+1</f>
        <v>2015</v>
      </c>
      <c r="F27" s="844">
        <v>0.03</v>
      </c>
      <c r="G27" s="633">
        <f>(G26+F27)</f>
        <v>1.06656</v>
      </c>
      <c r="H27" s="844">
        <v>0.03</v>
      </c>
      <c r="I27" s="633">
        <f>(I26+H27)</f>
        <v>1.074778</v>
      </c>
      <c r="J27" s="844">
        <v>0.03</v>
      </c>
      <c r="K27" s="633">
        <f>(K26+J27)</f>
        <v>1.06</v>
      </c>
      <c r="L27" s="844">
        <v>0.03</v>
      </c>
      <c r="M27" s="682">
        <f>(M26+L27)</f>
        <v>1.08026</v>
      </c>
    </row>
    <row r="28" spans="2:13" ht="16.5">
      <c r="B28" s="720" t="s">
        <v>2346</v>
      </c>
      <c r="C28" s="901">
        <f>VLOOKUP($B$26,$D$25:M30,M$23,FALSE)</f>
        <v>1</v>
      </c>
      <c r="D28" s="719">
        <v>4</v>
      </c>
      <c r="E28" s="681">
        <f t="shared" si="1"/>
        <v>2016</v>
      </c>
      <c r="F28" s="844">
        <v>0.03</v>
      </c>
      <c r="G28" s="633">
        <f>(G27+F28)</f>
        <v>1.09656</v>
      </c>
      <c r="H28" s="844">
        <v>0.03</v>
      </c>
      <c r="I28" s="633">
        <f>(I27+H28)</f>
        <v>1.104778</v>
      </c>
      <c r="J28" s="844">
        <v>0.03</v>
      </c>
      <c r="K28" s="633">
        <f>(K27+J28)</f>
        <v>1.0900000000000001</v>
      </c>
      <c r="L28" s="844">
        <v>0.03</v>
      </c>
      <c r="M28" s="682">
        <f>(M27+L28)</f>
        <v>1.11026</v>
      </c>
    </row>
    <row r="29" spans="2:13" ht="16.5">
      <c r="B29" s="720" t="s">
        <v>2347</v>
      </c>
      <c r="C29" s="901">
        <f>VLOOKUP($B$26,$D$25:K30,I$23,FALSE)</f>
        <v>1</v>
      </c>
      <c r="D29" s="719">
        <v>5</v>
      </c>
      <c r="E29" s="681">
        <f t="shared" si="1"/>
        <v>2017</v>
      </c>
      <c r="F29" s="844">
        <v>0.03</v>
      </c>
      <c r="G29" s="633">
        <f>(G28+F29)</f>
        <v>1.12656</v>
      </c>
      <c r="H29" s="844">
        <v>0.03</v>
      </c>
      <c r="I29" s="633">
        <f>(I28+H29)</f>
        <v>1.1347780000000001</v>
      </c>
      <c r="J29" s="844">
        <v>0.03</v>
      </c>
      <c r="K29" s="633">
        <f>(K28+J29)</f>
        <v>1.1200000000000001</v>
      </c>
      <c r="L29" s="844">
        <v>0.03</v>
      </c>
      <c r="M29" s="682">
        <f>(M28+L29)</f>
        <v>1.1402600000000001</v>
      </c>
    </row>
    <row r="30" spans="2:13" ht="17.25" thickBot="1">
      <c r="B30" s="721" t="s">
        <v>2348</v>
      </c>
      <c r="C30" s="902">
        <f>VLOOKUP($B$26,$D$25:K30,$K$23,FALSE)</f>
        <v>1</v>
      </c>
      <c r="D30" s="719">
        <v>6</v>
      </c>
      <c r="E30" s="683">
        <f t="shared" si="1"/>
        <v>2018</v>
      </c>
      <c r="F30" s="845">
        <v>0.03</v>
      </c>
      <c r="G30" s="684">
        <f>(G29+F30)</f>
        <v>1.15656</v>
      </c>
      <c r="H30" s="845">
        <v>0.03</v>
      </c>
      <c r="I30" s="684">
        <f>(I29+H30)</f>
        <v>1.1647780000000001</v>
      </c>
      <c r="J30" s="845">
        <v>0.03</v>
      </c>
      <c r="K30" s="684">
        <f>(K29+J30)</f>
        <v>1.1500000000000001</v>
      </c>
      <c r="L30" s="845">
        <v>0.03</v>
      </c>
      <c r="M30" s="685">
        <f>(M29+L30)</f>
        <v>1.1702600000000001</v>
      </c>
    </row>
    <row r="31" spans="2:13" ht="22.5" customHeight="1" thickBot="1"/>
    <row r="32" spans="2:13" ht="17.25" thickBot="1">
      <c r="B32" s="672" t="s">
        <v>1527</v>
      </c>
      <c r="C32" s="673"/>
      <c r="D32" s="673"/>
      <c r="E32" s="673"/>
      <c r="F32" s="673"/>
      <c r="G32" s="673"/>
      <c r="H32" s="673"/>
      <c r="I32" s="673"/>
      <c r="J32" s="674"/>
    </row>
    <row r="33" spans="2:10" ht="18.75" thickBot="1">
      <c r="B33" s="897">
        <v>2</v>
      </c>
      <c r="C33" s="709" t="s">
        <v>1595</v>
      </c>
      <c r="D33" s="688">
        <f>IF($I$11=1,C36,IF($I$11=2,C37,C38))</f>
        <v>3.6560000000000002E-2</v>
      </c>
      <c r="E33" s="710" t="s">
        <v>1596</v>
      </c>
      <c r="F33" s="688">
        <f>IF($I$11=1,E36,IF($I$11=2,E37,E38))</f>
        <v>4.4777999999999998E-2</v>
      </c>
      <c r="G33" s="710" t="s">
        <v>1597</v>
      </c>
      <c r="H33" s="689">
        <f>IF($I$11=1,G36,IF($I$11=2,G37,G38))</f>
        <v>2.2600000000000002E-2</v>
      </c>
      <c r="I33" s="710" t="s">
        <v>1600</v>
      </c>
      <c r="J33" s="689">
        <f>IF($I$11=1,I36,IF($I$11=2,I37,I38))</f>
        <v>5.0260000000000006E-2</v>
      </c>
    </row>
    <row r="34" spans="2:10" ht="9" customHeight="1" thickBot="1">
      <c r="B34" s="675"/>
      <c r="C34" s="676"/>
      <c r="D34" s="676"/>
      <c r="E34" s="676"/>
      <c r="F34" s="676"/>
      <c r="G34" s="676"/>
      <c r="H34" s="676"/>
      <c r="I34" s="676"/>
      <c r="J34" s="677"/>
    </row>
    <row r="35" spans="2:10" ht="5.25" customHeight="1" thickBot="1">
      <c r="B35" s="635"/>
      <c r="C35" s="629"/>
      <c r="D35" s="636"/>
      <c r="E35" s="629"/>
      <c r="F35" s="629"/>
      <c r="G35" s="629"/>
      <c r="H35" s="629"/>
    </row>
    <row r="36" spans="2:10" ht="16.5">
      <c r="B36" s="669" t="s">
        <v>1528</v>
      </c>
      <c r="C36" s="696">
        <v>0.03</v>
      </c>
      <c r="E36" s="696">
        <v>0.03</v>
      </c>
      <c r="F36" s="629"/>
      <c r="G36" s="696">
        <v>0.03</v>
      </c>
      <c r="H36" s="629"/>
      <c r="I36" s="696">
        <v>0.03</v>
      </c>
    </row>
    <row r="37" spans="2:10" ht="16.5">
      <c r="B37" s="669" t="s">
        <v>1529</v>
      </c>
      <c r="C37" s="670">
        <f>AVERAGE(D47:D51)</f>
        <v>3.6560000000000002E-2</v>
      </c>
      <c r="D37" s="668" t="s">
        <v>1530</v>
      </c>
      <c r="E37" s="670">
        <f>AVERAGE(E47:E51)</f>
        <v>4.4777999999999998E-2</v>
      </c>
      <c r="F37" s="668" t="s">
        <v>1530</v>
      </c>
      <c r="G37" s="670">
        <f>AVERAGE(G50:G51)</f>
        <v>2.2600000000000002E-2</v>
      </c>
      <c r="H37" s="668" t="s">
        <v>1531</v>
      </c>
      <c r="I37" s="670">
        <f>AVERAGE(H47:H51)</f>
        <v>5.0260000000000006E-2</v>
      </c>
      <c r="J37" s="668" t="s">
        <v>1530</v>
      </c>
    </row>
    <row r="38" spans="2:10" ht="17.25" thickBot="1">
      <c r="B38" s="669" t="s">
        <v>1532</v>
      </c>
      <c r="C38" s="671">
        <f>GEOMEAN(D47:D51)</f>
        <v>3.2380171196907954E-2</v>
      </c>
      <c r="D38" s="668" t="s">
        <v>1530</v>
      </c>
      <c r="E38" s="671">
        <f>GEOMEAN(E49:E51)</f>
        <v>3.1204215406765511E-2</v>
      </c>
      <c r="F38" s="668" t="s">
        <v>1533</v>
      </c>
      <c r="G38" s="671">
        <f>GEOMEAN(G50:G51)</f>
        <v>2.1098578151145637E-2</v>
      </c>
      <c r="H38" s="668" t="s">
        <v>1531</v>
      </c>
      <c r="I38" s="671">
        <f>GEOMEAN(H47:H51)</f>
        <v>4.8208337759558344E-2</v>
      </c>
      <c r="J38" s="668" t="s">
        <v>1530</v>
      </c>
    </row>
    <row r="39" spans="2:10" ht="22.5" customHeight="1" thickBot="1"/>
    <row r="40" spans="2:10" ht="17.25" thickBot="1">
      <c r="B40" s="629"/>
      <c r="C40" s="705" t="s">
        <v>1521</v>
      </c>
      <c r="D40" s="706" t="s">
        <v>1534</v>
      </c>
      <c r="E40" s="706" t="s">
        <v>1524</v>
      </c>
      <c r="F40" s="707" t="s">
        <v>1535</v>
      </c>
      <c r="G40" s="832" t="s">
        <v>1525</v>
      </c>
      <c r="H40" s="708" t="s">
        <v>35</v>
      </c>
    </row>
    <row r="41" spans="2:10" ht="16.5">
      <c r="B41" s="1167" t="s">
        <v>2344</v>
      </c>
      <c r="C41" s="836">
        <v>2002</v>
      </c>
      <c r="D41" s="837">
        <f>(6.99)/100</f>
        <v>6.9900000000000004E-2</v>
      </c>
      <c r="E41" s="837">
        <v>0.10921341272328422</v>
      </c>
      <c r="F41" s="629"/>
      <c r="G41" s="833"/>
      <c r="H41" s="839">
        <v>7.4399999999999994E-2</v>
      </c>
    </row>
    <row r="42" spans="2:10" ht="16.5">
      <c r="B42" s="1168"/>
      <c r="C42" s="702">
        <v>2003</v>
      </c>
      <c r="D42" s="637">
        <f>(6.49)/100</f>
        <v>6.4899999999999999E-2</v>
      </c>
      <c r="E42" s="637">
        <v>5.3114846729763965E-2</v>
      </c>
      <c r="F42" s="629"/>
      <c r="G42" s="833"/>
      <c r="H42" s="840">
        <v>7.8299999999999995E-2</v>
      </c>
    </row>
    <row r="43" spans="2:10" ht="16.5">
      <c r="B43" s="1168"/>
      <c r="C43" s="702">
        <v>2004</v>
      </c>
      <c r="D43" s="637">
        <f>(5.5)/100</f>
        <v>5.5E-2</v>
      </c>
      <c r="E43" s="637">
        <v>1.4151576123407228E-2</v>
      </c>
      <c r="F43" s="629"/>
      <c r="G43" s="833"/>
      <c r="H43" s="840">
        <v>6.5600000000000006E-2</v>
      </c>
    </row>
    <row r="44" spans="2:10" ht="16.5">
      <c r="B44" s="1168"/>
      <c r="C44" s="702">
        <v>2005</v>
      </c>
      <c r="D44" s="637">
        <f>(4.85)/100</f>
        <v>4.8499999999999995E-2</v>
      </c>
      <c r="E44" s="637">
        <v>0.10779710336617931</v>
      </c>
      <c r="F44" s="629"/>
      <c r="G44" s="833"/>
      <c r="H44" s="840">
        <v>6.9500000000000006E-2</v>
      </c>
    </row>
    <row r="45" spans="2:10" ht="16.5">
      <c r="B45" s="1168"/>
      <c r="C45" s="702">
        <v>2006</v>
      </c>
      <c r="D45" s="637">
        <f>(4.48)/100</f>
        <v>4.4800000000000006E-2</v>
      </c>
      <c r="E45" s="637">
        <v>5.6832427914751404E-2</v>
      </c>
      <c r="F45" s="629"/>
      <c r="G45" s="833"/>
      <c r="H45" s="840">
        <v>6.3E-2</v>
      </c>
    </row>
    <row r="46" spans="2:10" ht="16.5">
      <c r="B46" s="1168"/>
      <c r="C46" s="702">
        <v>2007</v>
      </c>
      <c r="D46" s="637">
        <f>(5.69)/100</f>
        <v>5.6900000000000006E-2</v>
      </c>
      <c r="E46" s="637">
        <v>8.5126814664181261E-2</v>
      </c>
      <c r="F46" s="629"/>
      <c r="G46" s="833"/>
      <c r="H46" s="840">
        <v>6.4100000000000004E-2</v>
      </c>
    </row>
    <row r="47" spans="2:10" ht="16.5">
      <c r="B47" s="1168"/>
      <c r="C47" s="703">
        <v>2008</v>
      </c>
      <c r="D47" s="638">
        <v>7.6700000000000004E-2</v>
      </c>
      <c r="E47" s="638">
        <v>0.13170000000000001</v>
      </c>
      <c r="F47" s="629"/>
      <c r="G47" s="833"/>
      <c r="H47" s="838">
        <v>7.6700000000000004E-2</v>
      </c>
    </row>
    <row r="48" spans="2:10" ht="16.5">
      <c r="B48" s="1168"/>
      <c r="C48" s="703">
        <v>2009</v>
      </c>
      <c r="D48" s="638">
        <v>0.02</v>
      </c>
      <c r="E48" s="638">
        <v>-3.2000000000000002E-3</v>
      </c>
      <c r="F48" s="639">
        <v>-1.6799999999999999E-2</v>
      </c>
      <c r="G48" s="833"/>
      <c r="H48" s="838">
        <v>3.6400000000000002E-2</v>
      </c>
      <c r="I48" s="842"/>
    </row>
    <row r="49" spans="2:10" ht="16.5">
      <c r="B49" s="1168"/>
      <c r="C49" s="703">
        <v>2010</v>
      </c>
      <c r="D49" s="638">
        <v>3.1699999999999999E-2</v>
      </c>
      <c r="E49" s="638">
        <v>4.0189999999999997E-2</v>
      </c>
      <c r="F49" s="639">
        <v>4.9099999999999998E-2</v>
      </c>
      <c r="G49" s="833"/>
      <c r="H49" s="838">
        <v>0.04</v>
      </c>
    </row>
    <row r="50" spans="2:10" ht="16.5">
      <c r="B50" s="1168"/>
      <c r="C50" s="703">
        <v>2011</v>
      </c>
      <c r="D50" s="638">
        <v>0.03</v>
      </c>
      <c r="E50" s="638">
        <v>0.03</v>
      </c>
      <c r="F50" s="639">
        <v>5.3400000000000003E-2</v>
      </c>
      <c r="G50" s="834">
        <v>3.0700000000000002E-2</v>
      </c>
      <c r="H50" s="838">
        <v>5.8000000000000003E-2</v>
      </c>
    </row>
    <row r="51" spans="2:10" ht="17.25" thickBot="1">
      <c r="B51" s="1169"/>
      <c r="C51" s="704">
        <v>2012</v>
      </c>
      <c r="D51" s="700">
        <v>2.4400000000000002E-2</v>
      </c>
      <c r="E51" s="700">
        <v>2.52E-2</v>
      </c>
      <c r="F51" s="701">
        <v>2.29E-2</v>
      </c>
      <c r="G51" s="835">
        <v>1.4500000000000001E-2</v>
      </c>
      <c r="H51" s="841">
        <v>4.02E-2</v>
      </c>
    </row>
    <row r="52" spans="2:10" ht="22.5" customHeight="1">
      <c r="B52" s="697"/>
      <c r="C52" s="698"/>
      <c r="D52" s="699"/>
      <c r="E52" s="699"/>
      <c r="F52" s="699"/>
      <c r="G52" s="699"/>
    </row>
    <row r="53" spans="2:10" ht="5.25" customHeight="1" thickBot="1">
      <c r="B53" s="697"/>
      <c r="C53" s="698"/>
      <c r="D53" s="699"/>
      <c r="E53" s="699"/>
      <c r="F53" s="699"/>
      <c r="G53" s="699"/>
    </row>
    <row r="54" spans="2:10" ht="22.5" customHeight="1" thickBot="1">
      <c r="B54" s="711" t="s">
        <v>2349</v>
      </c>
      <c r="C54" s="712"/>
      <c r="D54" s="712"/>
      <c r="E54" s="712"/>
      <c r="F54" s="712"/>
      <c r="G54" s="712"/>
      <c r="H54" s="712"/>
      <c r="I54" s="712"/>
      <c r="J54" s="713"/>
    </row>
    <row r="55" spans="2:10" s="714" customFormat="1" ht="13.5" customHeight="1" thickBot="1">
      <c r="B55" s="715"/>
      <c r="C55" s="646"/>
      <c r="D55" s="646"/>
      <c r="E55" s="646"/>
      <c r="F55" s="646"/>
      <c r="G55" s="646"/>
      <c r="H55" s="646"/>
      <c r="I55" s="646"/>
      <c r="J55" s="646"/>
    </row>
    <row r="56" spans="2:10" ht="17.25" customHeight="1">
      <c r="B56" s="716"/>
      <c r="C56" s="673"/>
      <c r="D56" s="673"/>
      <c r="E56" s="673"/>
      <c r="F56" s="673"/>
      <c r="G56" s="673"/>
      <c r="H56" s="674"/>
    </row>
    <row r="57" spans="2:10" ht="17.25" customHeight="1">
      <c r="B57" s="679"/>
      <c r="C57" s="629"/>
      <c r="D57" s="629"/>
      <c r="E57" s="629"/>
      <c r="F57" s="629"/>
      <c r="G57" s="629"/>
      <c r="H57" s="680"/>
    </row>
    <row r="58" spans="2:10" ht="17.25" customHeight="1" thickBot="1">
      <c r="B58" s="679"/>
      <c r="C58" s="629"/>
      <c r="D58" s="629"/>
      <c r="E58" s="629"/>
      <c r="F58" s="629"/>
      <c r="G58" s="629"/>
      <c r="H58" s="680"/>
    </row>
    <row r="59" spans="2:10" ht="16.5">
      <c r="B59" s="722" t="s">
        <v>1537</v>
      </c>
      <c r="C59" s="723">
        <v>2007</v>
      </c>
      <c r="D59" s="724">
        <v>2008</v>
      </c>
      <c r="E59" s="724">
        <v>2009</v>
      </c>
      <c r="F59" s="724">
        <v>2010</v>
      </c>
      <c r="G59" s="724">
        <v>2011</v>
      </c>
      <c r="H59" s="725">
        <v>2012</v>
      </c>
    </row>
    <row r="60" spans="2:10" ht="16.5">
      <c r="B60" s="726" t="s">
        <v>1538</v>
      </c>
      <c r="C60" s="727">
        <v>0.77</v>
      </c>
      <c r="D60" s="727">
        <v>1.06</v>
      </c>
      <c r="E60" s="727">
        <v>0.59</v>
      </c>
      <c r="F60" s="727">
        <v>0.69</v>
      </c>
      <c r="G60" s="727">
        <v>0.91</v>
      </c>
      <c r="H60" s="728">
        <v>0.73</v>
      </c>
    </row>
    <row r="61" spans="2:10" ht="16.5">
      <c r="B61" s="729" t="s">
        <v>1539</v>
      </c>
      <c r="C61" s="730">
        <v>1.17</v>
      </c>
      <c r="D61" s="730">
        <v>1.51</v>
      </c>
      <c r="E61" s="730">
        <v>0.84</v>
      </c>
      <c r="F61" s="730">
        <v>0.83</v>
      </c>
      <c r="G61" s="730">
        <v>0.6</v>
      </c>
      <c r="H61" s="731">
        <v>0.61</v>
      </c>
    </row>
    <row r="62" spans="2:10" ht="16.5">
      <c r="B62" s="732" t="s">
        <v>1540</v>
      </c>
      <c r="C62" s="733">
        <v>1.21</v>
      </c>
      <c r="D62" s="733">
        <v>0.81</v>
      </c>
      <c r="E62" s="733">
        <v>0.5</v>
      </c>
      <c r="F62" s="733">
        <v>0.25</v>
      </c>
      <c r="G62" s="733">
        <v>0.27</v>
      </c>
      <c r="H62" s="734">
        <v>0.12</v>
      </c>
      <c r="J62" s="629"/>
    </row>
    <row r="63" spans="2:10" ht="16.5">
      <c r="B63" s="729" t="s">
        <v>1541</v>
      </c>
      <c r="C63" s="730">
        <v>0.9</v>
      </c>
      <c r="D63" s="730">
        <v>0.71</v>
      </c>
      <c r="E63" s="730">
        <v>0.32</v>
      </c>
      <c r="F63" s="730">
        <v>0.46</v>
      </c>
      <c r="G63" s="730">
        <v>0.12</v>
      </c>
      <c r="H63" s="731">
        <v>0.14000000000000001</v>
      </c>
      <c r="J63" s="629"/>
    </row>
    <row r="64" spans="2:10" ht="16.5">
      <c r="B64" s="732" t="s">
        <v>1542</v>
      </c>
      <c r="C64" s="733">
        <v>0.3</v>
      </c>
      <c r="D64" s="733">
        <v>0.93</v>
      </c>
      <c r="E64" s="733">
        <v>0.01</v>
      </c>
      <c r="F64" s="733">
        <v>0.1</v>
      </c>
      <c r="G64" s="733">
        <v>0.28000000000000003</v>
      </c>
      <c r="H64" s="734">
        <v>0.3</v>
      </c>
    </row>
    <row r="65" spans="2:10" ht="16.5">
      <c r="B65" s="729" t="s">
        <v>1543</v>
      </c>
      <c r="C65" s="730">
        <v>0.12</v>
      </c>
      <c r="D65" s="730">
        <v>0.86</v>
      </c>
      <c r="E65" s="730">
        <v>-0.06</v>
      </c>
      <c r="F65" s="730">
        <v>0.11</v>
      </c>
      <c r="G65" s="730">
        <v>0.32</v>
      </c>
      <c r="H65" s="731">
        <v>0.08</v>
      </c>
    </row>
    <row r="66" spans="2:10" ht="16.5">
      <c r="B66" s="732" t="s">
        <v>1544</v>
      </c>
      <c r="C66" s="733">
        <v>0.17</v>
      </c>
      <c r="D66" s="733">
        <v>0.48</v>
      </c>
      <c r="E66" s="733">
        <v>-0.04</v>
      </c>
      <c r="F66" s="733">
        <v>-0.04</v>
      </c>
      <c r="G66" s="733">
        <v>0.14000000000000001</v>
      </c>
      <c r="H66" s="734">
        <v>-0.02</v>
      </c>
    </row>
    <row r="67" spans="2:10" ht="16.5">
      <c r="B67" s="729" t="s">
        <v>1545</v>
      </c>
      <c r="C67" s="730">
        <v>-0.13</v>
      </c>
      <c r="D67" s="730">
        <v>0.19</v>
      </c>
      <c r="E67" s="730">
        <v>0.04</v>
      </c>
      <c r="F67" s="730">
        <v>0.11</v>
      </c>
      <c r="G67" s="730">
        <v>-0.03</v>
      </c>
      <c r="H67" s="731">
        <v>0.04</v>
      </c>
    </row>
    <row r="68" spans="2:10" ht="16.5">
      <c r="B68" s="732" t="s">
        <v>1546</v>
      </c>
      <c r="C68" s="735">
        <v>0.08</v>
      </c>
      <c r="D68" s="733">
        <v>-0.19</v>
      </c>
      <c r="E68" s="733">
        <v>-0.11</v>
      </c>
      <c r="F68" s="733">
        <v>-0.14000000000000001</v>
      </c>
      <c r="G68" s="733">
        <v>0.31</v>
      </c>
      <c r="H68" s="734">
        <v>0.28999999999999998</v>
      </c>
    </row>
    <row r="69" spans="2:10" ht="16.5">
      <c r="B69" s="729" t="s">
        <v>1547</v>
      </c>
      <c r="C69" s="730">
        <v>0.01</v>
      </c>
      <c r="D69" s="730">
        <v>0.35</v>
      </c>
      <c r="E69" s="730">
        <v>-0.13</v>
      </c>
      <c r="F69" s="730">
        <v>-0.09</v>
      </c>
      <c r="G69" s="730">
        <v>0.19</v>
      </c>
      <c r="H69" s="731">
        <v>0.16</v>
      </c>
    </row>
    <row r="70" spans="2:10" ht="16.5">
      <c r="B70" s="732" t="s">
        <v>1548</v>
      </c>
      <c r="C70" s="733">
        <v>0.47</v>
      </c>
      <c r="D70" s="733">
        <v>0.28000000000000003</v>
      </c>
      <c r="E70" s="733">
        <v>-7.0000000000000007E-2</v>
      </c>
      <c r="F70" s="733">
        <v>0.19</v>
      </c>
      <c r="G70" s="733">
        <v>0.14000000000000001</v>
      </c>
      <c r="H70" s="734">
        <v>-0.14000000000000001</v>
      </c>
    </row>
    <row r="71" spans="2:10" ht="16.5">
      <c r="B71" s="729" t="s">
        <v>1549</v>
      </c>
      <c r="C71" s="730">
        <v>0.49</v>
      </c>
      <c r="D71" s="730">
        <v>0.44</v>
      </c>
      <c r="E71" s="730">
        <v>0.08</v>
      </c>
      <c r="F71" s="730">
        <v>0.65</v>
      </c>
      <c r="G71" s="730">
        <v>0.42</v>
      </c>
      <c r="H71" s="731">
        <v>0.09</v>
      </c>
    </row>
    <row r="72" spans="2:10" ht="17.25" thickBot="1">
      <c r="B72" s="736" t="s">
        <v>1550</v>
      </c>
      <c r="C72" s="737">
        <v>5.69</v>
      </c>
      <c r="D72" s="737">
        <v>7.67</v>
      </c>
      <c r="E72" s="737">
        <v>2</v>
      </c>
      <c r="F72" s="737">
        <v>3.17</v>
      </c>
      <c r="G72" s="737">
        <v>3.73</v>
      </c>
      <c r="H72" s="738">
        <v>2.44</v>
      </c>
    </row>
    <row r="73" spans="2:10" ht="16.5">
      <c r="B73" s="739" t="s">
        <v>1536</v>
      </c>
      <c r="C73" s="634"/>
      <c r="D73" s="634"/>
      <c r="E73" s="634"/>
      <c r="F73" s="634"/>
      <c r="G73" s="634"/>
      <c r="H73" s="634"/>
    </row>
    <row r="74" spans="2:10" ht="17.25" thickBot="1"/>
    <row r="75" spans="2:10" ht="17.25" thickBot="1">
      <c r="B75" s="1178" t="s">
        <v>1551</v>
      </c>
      <c r="C75" s="1179"/>
      <c r="D75" s="1179"/>
      <c r="E75" s="1179"/>
      <c r="F75" s="1179"/>
      <c r="G75" s="1179"/>
      <c r="H75" s="1179"/>
      <c r="I75" s="1180"/>
      <c r="J75" s="629"/>
    </row>
    <row r="76" spans="2:10" ht="16.5">
      <c r="B76" s="740" t="s">
        <v>1552</v>
      </c>
      <c r="C76" s="741"/>
      <c r="D76" s="741"/>
      <c r="E76" s="741"/>
      <c r="F76" s="741"/>
      <c r="G76" s="741"/>
      <c r="H76" s="741"/>
      <c r="I76" s="742"/>
      <c r="J76" s="640"/>
    </row>
    <row r="77" spans="2:10" ht="16.5">
      <c r="B77" s="740" t="s">
        <v>1553</v>
      </c>
      <c r="C77" s="741"/>
      <c r="D77" s="741"/>
      <c r="E77" s="741"/>
      <c r="F77" s="741"/>
      <c r="G77" s="741"/>
      <c r="H77" s="741"/>
      <c r="I77" s="742"/>
      <c r="J77" s="640"/>
    </row>
    <row r="78" spans="2:10" ht="16.5">
      <c r="B78" s="743" t="s">
        <v>1554</v>
      </c>
      <c r="C78" s="744" t="s">
        <v>1555</v>
      </c>
      <c r="D78" s="744"/>
      <c r="E78" s="744"/>
      <c r="F78" s="744"/>
      <c r="G78" s="745"/>
      <c r="H78" s="745"/>
      <c r="I78" s="746"/>
      <c r="J78" s="640"/>
    </row>
    <row r="79" spans="2:10" ht="16.5">
      <c r="B79" s="743"/>
      <c r="C79" s="747">
        <v>2009</v>
      </c>
      <c r="D79" s="744">
        <v>2010</v>
      </c>
      <c r="E79" s="744">
        <v>2011</v>
      </c>
      <c r="F79" s="744">
        <v>2012</v>
      </c>
      <c r="G79" s="745"/>
      <c r="H79" s="745"/>
      <c r="I79" s="746"/>
      <c r="J79" s="640"/>
    </row>
    <row r="80" spans="2:10" ht="16.5">
      <c r="B80" s="748" t="s">
        <v>1556</v>
      </c>
      <c r="C80" s="749">
        <v>0.79</v>
      </c>
      <c r="D80" s="749">
        <v>1.32</v>
      </c>
      <c r="E80" s="749">
        <v>2.11</v>
      </c>
      <c r="F80" s="749">
        <v>2.48</v>
      </c>
      <c r="G80" s="745"/>
      <c r="H80" s="745"/>
      <c r="I80" s="746"/>
      <c r="J80" s="640"/>
    </row>
    <row r="81" spans="2:16" ht="16.5">
      <c r="B81" s="750" t="s">
        <v>1557</v>
      </c>
      <c r="C81" s="751">
        <v>-2.2799999999999998</v>
      </c>
      <c r="D81" s="751">
        <v>0.99</v>
      </c>
      <c r="E81" s="751">
        <v>1.4</v>
      </c>
      <c r="F81" s="751">
        <v>-0.33</v>
      </c>
      <c r="G81" s="745"/>
      <c r="H81" s="745"/>
      <c r="I81" s="746"/>
      <c r="J81" s="640"/>
    </row>
    <row r="82" spans="2:16" ht="16.5">
      <c r="B82" s="748" t="s">
        <v>1558</v>
      </c>
      <c r="C82" s="749">
        <v>-0.2</v>
      </c>
      <c r="D82" s="749">
        <v>1.17</v>
      </c>
      <c r="E82" s="749">
        <v>0.09</v>
      </c>
      <c r="F82" s="752">
        <v>0.15</v>
      </c>
      <c r="G82" s="745"/>
      <c r="H82" s="745"/>
      <c r="I82" s="746"/>
      <c r="J82" s="640"/>
    </row>
    <row r="83" spans="2:16" ht="17.25" thickBot="1">
      <c r="B83" s="750" t="s">
        <v>1559</v>
      </c>
      <c r="C83" s="751">
        <v>0.03</v>
      </c>
      <c r="D83" s="751">
        <v>1.34</v>
      </c>
      <c r="E83" s="751">
        <v>1.65</v>
      </c>
      <c r="F83" s="753"/>
      <c r="G83" s="745"/>
      <c r="H83" s="745"/>
      <c r="I83" s="746"/>
      <c r="J83" s="641"/>
    </row>
    <row r="84" spans="2:16" ht="17.25" thickBot="1">
      <c r="B84" s="748" t="s">
        <v>1560</v>
      </c>
      <c r="C84" s="749">
        <v>-1.68</v>
      </c>
      <c r="D84" s="749">
        <v>4.91</v>
      </c>
      <c r="E84" s="749">
        <v>5.34</v>
      </c>
      <c r="F84" s="754">
        <v>2.29</v>
      </c>
      <c r="G84" s="1170"/>
      <c r="H84" s="1171"/>
      <c r="I84" s="746"/>
      <c r="J84" s="641"/>
    </row>
    <row r="85" spans="2:16" ht="16.5">
      <c r="B85" s="748" t="s">
        <v>1536</v>
      </c>
      <c r="C85" s="755"/>
      <c r="D85" s="755"/>
      <c r="E85" s="745"/>
      <c r="F85" s="745"/>
      <c r="G85" s="756"/>
      <c r="H85" s="756"/>
      <c r="I85" s="746"/>
      <c r="J85" s="628"/>
    </row>
    <row r="86" spans="2:16" ht="16.5">
      <c r="B86" s="748" t="s">
        <v>1561</v>
      </c>
      <c r="C86" s="745"/>
      <c r="D86" s="745"/>
      <c r="E86" s="745"/>
      <c r="F86" s="745"/>
      <c r="G86" s="745"/>
      <c r="H86" s="745"/>
      <c r="I86" s="746"/>
    </row>
    <row r="87" spans="2:16" ht="17.25" thickBot="1">
      <c r="B87" s="1187" t="s">
        <v>1562</v>
      </c>
      <c r="C87" s="1188"/>
      <c r="D87" s="1188"/>
      <c r="E87" s="1188"/>
      <c r="F87" s="1188"/>
      <c r="G87" s="1188"/>
      <c r="H87" s="1188"/>
      <c r="I87" s="1189"/>
    </row>
    <row r="88" spans="2:16" ht="17.25" thickBot="1">
      <c r="B88" s="717"/>
      <c r="C88" s="717"/>
      <c r="D88" s="717"/>
      <c r="E88" s="717"/>
      <c r="F88" s="717"/>
      <c r="G88" s="717"/>
      <c r="H88" s="717"/>
      <c r="I88" s="628"/>
    </row>
    <row r="89" spans="2:16" s="659" customFormat="1" ht="15.75">
      <c r="B89" s="757"/>
      <c r="C89" s="758"/>
      <c r="D89" s="758"/>
      <c r="E89" s="758"/>
      <c r="F89" s="758"/>
      <c r="G89" s="758"/>
      <c r="H89" s="758"/>
      <c r="I89" s="758"/>
      <c r="J89" s="758"/>
      <c r="K89" s="758"/>
      <c r="L89" s="758"/>
      <c r="M89" s="758"/>
      <c r="N89" s="758"/>
      <c r="O89" s="759"/>
      <c r="P89" s="760"/>
    </row>
    <row r="90" spans="2:16" s="659" customFormat="1" ht="15.75">
      <c r="B90" s="761" t="s">
        <v>1563</v>
      </c>
      <c r="C90" s="762"/>
      <c r="D90" s="762"/>
      <c r="E90" s="762"/>
      <c r="F90" s="762"/>
      <c r="G90" s="762"/>
      <c r="H90" s="762"/>
      <c r="I90" s="762"/>
      <c r="J90" s="762"/>
      <c r="K90" s="762"/>
      <c r="L90" s="762"/>
      <c r="M90" s="762"/>
      <c r="N90" s="762"/>
      <c r="O90" s="763"/>
      <c r="P90" s="760"/>
    </row>
    <row r="91" spans="2:16" s="659" customFormat="1" ht="15.75">
      <c r="B91" s="761" t="s">
        <v>1564</v>
      </c>
      <c r="C91" s="762"/>
      <c r="D91" s="762"/>
      <c r="E91" s="762"/>
      <c r="F91" s="762"/>
      <c r="G91" s="762"/>
      <c r="H91" s="762"/>
      <c r="I91" s="762"/>
      <c r="J91" s="762"/>
      <c r="K91" s="762"/>
      <c r="L91" s="762"/>
      <c r="M91" s="762"/>
      <c r="N91" s="762"/>
      <c r="O91" s="763"/>
      <c r="P91" s="760"/>
    </row>
    <row r="92" spans="2:16" s="659" customFormat="1" ht="15.75">
      <c r="B92" s="761" t="s">
        <v>1565</v>
      </c>
      <c r="C92" s="762"/>
      <c r="D92" s="762"/>
      <c r="E92" s="762"/>
      <c r="F92" s="762"/>
      <c r="G92" s="762"/>
      <c r="H92" s="762"/>
      <c r="I92" s="762"/>
      <c r="J92" s="762"/>
      <c r="K92" s="762"/>
      <c r="L92" s="762"/>
      <c r="M92" s="762"/>
      <c r="N92" s="762"/>
      <c r="O92" s="763"/>
      <c r="P92" s="760"/>
    </row>
    <row r="93" spans="2:16" s="659" customFormat="1" ht="15.75">
      <c r="B93" s="764" t="s">
        <v>1566</v>
      </c>
      <c r="C93" s="765"/>
      <c r="D93" s="765"/>
      <c r="E93" s="766"/>
      <c r="F93" s="766"/>
      <c r="G93" s="766"/>
      <c r="H93" s="766"/>
      <c r="I93" s="766"/>
      <c r="J93" s="766"/>
      <c r="K93" s="766"/>
      <c r="L93" s="766"/>
      <c r="M93" s="766"/>
      <c r="N93" s="766"/>
      <c r="O93" s="767"/>
      <c r="P93" s="760"/>
    </row>
    <row r="94" spans="2:16" s="659" customFormat="1" ht="15.75">
      <c r="B94" s="768" t="s">
        <v>1567</v>
      </c>
      <c r="C94" s="769" t="s">
        <v>1538</v>
      </c>
      <c r="D94" s="769" t="s">
        <v>1539</v>
      </c>
      <c r="E94" s="769" t="s">
        <v>1540</v>
      </c>
      <c r="F94" s="769" t="s">
        <v>1541</v>
      </c>
      <c r="G94" s="769" t="s">
        <v>1542</v>
      </c>
      <c r="H94" s="769" t="s">
        <v>1543</v>
      </c>
      <c r="I94" s="769" t="s">
        <v>1544</v>
      </c>
      <c r="J94" s="769" t="s">
        <v>1545</v>
      </c>
      <c r="K94" s="769" t="s">
        <v>1546</v>
      </c>
      <c r="L94" s="769" t="s">
        <v>1547</v>
      </c>
      <c r="M94" s="769" t="s">
        <v>1548</v>
      </c>
      <c r="N94" s="769" t="s">
        <v>1549</v>
      </c>
      <c r="O94" s="770" t="s">
        <v>1568</v>
      </c>
      <c r="P94" s="760"/>
    </row>
    <row r="95" spans="2:16" s="659" customFormat="1" ht="15.75">
      <c r="B95" s="771" t="s">
        <v>1569</v>
      </c>
      <c r="C95" s="772">
        <v>0.91</v>
      </c>
      <c r="D95" s="772">
        <v>0.6</v>
      </c>
      <c r="E95" s="772">
        <v>0.27</v>
      </c>
      <c r="F95" s="772">
        <v>0.12</v>
      </c>
      <c r="G95" s="772">
        <v>0.28000000000000003</v>
      </c>
      <c r="H95" s="772">
        <v>0.32</v>
      </c>
      <c r="I95" s="772">
        <v>0.14000000000000001</v>
      </c>
      <c r="J95" s="772">
        <v>-0.03</v>
      </c>
      <c r="K95" s="773">
        <v>0.31</v>
      </c>
      <c r="L95" s="773">
        <v>0.19</v>
      </c>
      <c r="M95" s="772">
        <v>0.14000000000000001</v>
      </c>
      <c r="N95" s="772">
        <v>0.42</v>
      </c>
      <c r="O95" s="774">
        <v>3.73</v>
      </c>
      <c r="P95" s="760"/>
    </row>
    <row r="96" spans="2:16" s="659" customFormat="1" ht="15.75">
      <c r="B96" s="775" t="s">
        <v>1570</v>
      </c>
      <c r="C96" s="776">
        <v>1.61</v>
      </c>
      <c r="D96" s="776">
        <v>0.66</v>
      </c>
      <c r="E96" s="776">
        <v>0.08</v>
      </c>
      <c r="F96" s="776">
        <v>-0.04</v>
      </c>
      <c r="G96" s="776">
        <v>0.78</v>
      </c>
      <c r="H96" s="776">
        <v>0.43</v>
      </c>
      <c r="I96" s="776">
        <v>0.31</v>
      </c>
      <c r="J96" s="776">
        <v>-0.19</v>
      </c>
      <c r="K96" s="777">
        <v>0.47</v>
      </c>
      <c r="L96" s="777">
        <v>0.43</v>
      </c>
      <c r="M96" s="776">
        <v>0.05</v>
      </c>
      <c r="N96" s="777">
        <v>0.56000000000000005</v>
      </c>
      <c r="O96" s="778">
        <v>5.27</v>
      </c>
      <c r="P96" s="760"/>
    </row>
    <row r="97" spans="2:16" s="659" customFormat="1" ht="15.75">
      <c r="B97" s="771" t="s">
        <v>1571</v>
      </c>
      <c r="C97" s="772">
        <v>0.35</v>
      </c>
      <c r="D97" s="772">
        <v>0.3</v>
      </c>
      <c r="E97" s="772">
        <v>0.51</v>
      </c>
      <c r="F97" s="772">
        <v>0.26</v>
      </c>
      <c r="G97" s="772">
        <v>0.19</v>
      </c>
      <c r="H97" s="772">
        <v>0.39</v>
      </c>
      <c r="I97" s="772">
        <v>0.28000000000000003</v>
      </c>
      <c r="J97" s="772">
        <v>0.27</v>
      </c>
      <c r="K97" s="773">
        <v>0.6</v>
      </c>
      <c r="L97" s="773">
        <v>0.17</v>
      </c>
      <c r="M97" s="772">
        <v>0.03</v>
      </c>
      <c r="N97" s="773">
        <v>0.36</v>
      </c>
      <c r="O97" s="779">
        <v>3.78</v>
      </c>
      <c r="P97" s="760"/>
    </row>
    <row r="98" spans="2:16" s="659" customFormat="1" ht="15.75">
      <c r="B98" s="775" t="s">
        <v>1572</v>
      </c>
      <c r="C98" s="776">
        <v>0.12</v>
      </c>
      <c r="D98" s="776">
        <v>-0.1</v>
      </c>
      <c r="E98" s="776">
        <v>0.05</v>
      </c>
      <c r="F98" s="776">
        <v>-0.03</v>
      </c>
      <c r="G98" s="776">
        <v>0.15</v>
      </c>
      <c r="H98" s="776">
        <v>0.03</v>
      </c>
      <c r="I98" s="776">
        <v>0.09</v>
      </c>
      <c r="J98" s="776">
        <v>-0.01</v>
      </c>
      <c r="K98" s="777">
        <v>0.05</v>
      </c>
      <c r="L98" s="777">
        <v>0.06</v>
      </c>
      <c r="M98" s="776">
        <v>0.06</v>
      </c>
      <c r="N98" s="777">
        <v>0.06</v>
      </c>
      <c r="O98" s="778">
        <v>0.54</v>
      </c>
      <c r="P98" s="760"/>
    </row>
    <row r="99" spans="2:16" s="659" customFormat="1" ht="15.75">
      <c r="B99" s="771" t="s">
        <v>1573</v>
      </c>
      <c r="C99" s="772">
        <v>0.68</v>
      </c>
      <c r="D99" s="772">
        <v>0.6</v>
      </c>
      <c r="E99" s="772">
        <v>0.66</v>
      </c>
      <c r="F99" s="772">
        <v>0.22</v>
      </c>
      <c r="G99" s="772">
        <v>0.13</v>
      </c>
      <c r="H99" s="772">
        <v>0.11</v>
      </c>
      <c r="I99" s="772">
        <v>0.3</v>
      </c>
      <c r="J99" s="772">
        <v>0.05</v>
      </c>
      <c r="K99" s="773">
        <v>0.14000000000000001</v>
      </c>
      <c r="L99" s="773">
        <v>0.33</v>
      </c>
      <c r="M99" s="772">
        <v>0.26</v>
      </c>
      <c r="N99" s="773">
        <v>0.1</v>
      </c>
      <c r="O99" s="779">
        <v>3.64</v>
      </c>
      <c r="P99" s="760"/>
    </row>
    <row r="100" spans="2:16" s="659" customFormat="1" ht="15.75">
      <c r="B100" s="775" t="s">
        <v>1574</v>
      </c>
      <c r="C100" s="776">
        <v>0</v>
      </c>
      <c r="D100" s="776">
        <v>4.17</v>
      </c>
      <c r="E100" s="776">
        <v>0.06</v>
      </c>
      <c r="F100" s="776">
        <v>-0.01</v>
      </c>
      <c r="G100" s="776">
        <v>0</v>
      </c>
      <c r="H100" s="776">
        <v>0</v>
      </c>
      <c r="I100" s="776">
        <v>0</v>
      </c>
      <c r="J100" s="776">
        <v>0.09</v>
      </c>
      <c r="K100" s="777">
        <v>0.23</v>
      </c>
      <c r="L100" s="777">
        <v>0.01</v>
      </c>
      <c r="M100" s="776">
        <v>0.01</v>
      </c>
      <c r="N100" s="777">
        <v>0</v>
      </c>
      <c r="O100" s="778">
        <v>4.57</v>
      </c>
      <c r="P100" s="760"/>
    </row>
    <row r="101" spans="2:16" s="659" customFormat="1" ht="15.75">
      <c r="B101" s="771" t="s">
        <v>1575</v>
      </c>
      <c r="C101" s="772">
        <v>0.44</v>
      </c>
      <c r="D101" s="772">
        <v>-0.14000000000000001</v>
      </c>
      <c r="E101" s="772">
        <v>-0.59</v>
      </c>
      <c r="F101" s="772">
        <v>-0.48</v>
      </c>
      <c r="G101" s="772">
        <v>0.04</v>
      </c>
      <c r="H101" s="772">
        <v>2.87</v>
      </c>
      <c r="I101" s="772">
        <v>-0.04</v>
      </c>
      <c r="J101" s="772">
        <v>-3.2</v>
      </c>
      <c r="K101" s="773">
        <v>-0.25</v>
      </c>
      <c r="L101" s="773">
        <v>-0.19</v>
      </c>
      <c r="M101" s="772">
        <v>0.14000000000000001</v>
      </c>
      <c r="N101" s="773">
        <v>1.19</v>
      </c>
      <c r="O101" s="779">
        <v>-0.32</v>
      </c>
      <c r="P101" s="760"/>
    </row>
    <row r="102" spans="2:16" s="659" customFormat="1" ht="15.75">
      <c r="B102" s="775" t="s">
        <v>1576</v>
      </c>
      <c r="C102" s="776">
        <v>1.73</v>
      </c>
      <c r="D102" s="776">
        <v>0.28999999999999998</v>
      </c>
      <c r="E102" s="776">
        <v>0.35</v>
      </c>
      <c r="F102" s="776">
        <v>0.34</v>
      </c>
      <c r="G102" s="776">
        <v>-0.11</v>
      </c>
      <c r="H102" s="776">
        <v>-0.06</v>
      </c>
      <c r="I102" s="776">
        <v>-0.36</v>
      </c>
      <c r="J102" s="776">
        <v>0.16</v>
      </c>
      <c r="K102" s="777">
        <v>-0.19</v>
      </c>
      <c r="L102" s="777">
        <v>7.0000000000000007E-2</v>
      </c>
      <c r="M102" s="776">
        <v>0.41</v>
      </c>
      <c r="N102" s="777">
        <v>0.41</v>
      </c>
      <c r="O102" s="778">
        <v>3.07</v>
      </c>
      <c r="P102" s="760"/>
    </row>
    <row r="103" spans="2:16" s="659" customFormat="1" ht="15.75">
      <c r="B103" s="771" t="s">
        <v>1577</v>
      </c>
      <c r="C103" s="772">
        <v>0.56999999999999995</v>
      </c>
      <c r="D103" s="772">
        <v>0.04</v>
      </c>
      <c r="E103" s="772">
        <v>0.63</v>
      </c>
      <c r="F103" s="772">
        <v>0</v>
      </c>
      <c r="G103" s="772">
        <v>-0.04</v>
      </c>
      <c r="H103" s="772">
        <v>0.01</v>
      </c>
      <c r="I103" s="772">
        <v>0</v>
      </c>
      <c r="J103" s="772">
        <v>-0.09</v>
      </c>
      <c r="K103" s="773">
        <v>-0.05</v>
      </c>
      <c r="L103" s="773">
        <v>-0.05</v>
      </c>
      <c r="M103" s="772">
        <v>0.94</v>
      </c>
      <c r="N103" s="773">
        <v>1.27</v>
      </c>
      <c r="O103" s="779">
        <v>3.26</v>
      </c>
      <c r="P103" s="760"/>
    </row>
    <row r="104" spans="2:16" s="659" customFormat="1" ht="15.75">
      <c r="B104" s="780" t="s">
        <v>1578</v>
      </c>
      <c r="C104" s="781">
        <v>0.57999999999999996</v>
      </c>
      <c r="D104" s="781">
        <v>0.38</v>
      </c>
      <c r="E104" s="781">
        <v>0.14000000000000001</v>
      </c>
      <c r="F104" s="781">
        <v>0.17</v>
      </c>
      <c r="G104" s="781">
        <v>0.19</v>
      </c>
      <c r="H104" s="781">
        <v>0.02</v>
      </c>
      <c r="I104" s="781">
        <v>0.12</v>
      </c>
      <c r="J104" s="781">
        <v>0.09</v>
      </c>
      <c r="K104" s="782">
        <v>0.1</v>
      </c>
      <c r="L104" s="782">
        <v>0.03</v>
      </c>
      <c r="M104" s="781">
        <v>0.17</v>
      </c>
      <c r="N104" s="782">
        <v>7.0000000000000007E-2</v>
      </c>
      <c r="O104" s="783">
        <v>2.08</v>
      </c>
      <c r="P104" s="760"/>
    </row>
    <row r="105" spans="2:16" s="659" customFormat="1" ht="15.75">
      <c r="B105" s="784" t="s">
        <v>1536</v>
      </c>
      <c r="C105" s="760"/>
      <c r="D105" s="760"/>
      <c r="E105" s="760"/>
      <c r="F105" s="760"/>
      <c r="G105" s="760"/>
      <c r="H105" s="760"/>
      <c r="I105" s="760"/>
      <c r="J105" s="760"/>
      <c r="K105" s="760"/>
      <c r="L105" s="760"/>
      <c r="M105" s="760"/>
      <c r="N105" s="760"/>
      <c r="O105" s="774"/>
      <c r="P105" s="760"/>
    </row>
    <row r="106" spans="2:16" s="659" customFormat="1" ht="15.75">
      <c r="B106" s="764" t="s">
        <v>1579</v>
      </c>
      <c r="C106" s="765"/>
      <c r="D106" s="765"/>
      <c r="E106" s="765"/>
      <c r="F106" s="766"/>
      <c r="G106" s="765"/>
      <c r="H106" s="766"/>
      <c r="I106" s="765"/>
      <c r="J106" s="766"/>
      <c r="K106" s="765"/>
      <c r="L106" s="766"/>
      <c r="M106" s="765"/>
      <c r="N106" s="766"/>
      <c r="O106" s="767"/>
      <c r="P106" s="760"/>
    </row>
    <row r="107" spans="2:16" s="659" customFormat="1" ht="15.75">
      <c r="B107" s="768" t="s">
        <v>1567</v>
      </c>
      <c r="C107" s="769" t="s">
        <v>1538</v>
      </c>
      <c r="D107" s="769" t="s">
        <v>1539</v>
      </c>
      <c r="E107" s="769" t="s">
        <v>1540</v>
      </c>
      <c r="F107" s="769" t="s">
        <v>1541</v>
      </c>
      <c r="G107" s="769" t="s">
        <v>1542</v>
      </c>
      <c r="H107" s="769" t="s">
        <v>1543</v>
      </c>
      <c r="I107" s="769" t="s">
        <v>1544</v>
      </c>
      <c r="J107" s="769" t="s">
        <v>1545</v>
      </c>
      <c r="K107" s="769" t="s">
        <v>1546</v>
      </c>
      <c r="L107" s="769" t="s">
        <v>1547</v>
      </c>
      <c r="M107" s="769" t="s">
        <v>1548</v>
      </c>
      <c r="N107" s="769" t="s">
        <v>1549</v>
      </c>
      <c r="O107" s="770" t="s">
        <v>1568</v>
      </c>
      <c r="P107" s="760"/>
    </row>
    <row r="108" spans="2:16" s="659" customFormat="1" ht="15.75">
      <c r="B108" s="771" t="s">
        <v>1569</v>
      </c>
      <c r="C108" s="772">
        <v>0.73</v>
      </c>
      <c r="D108" s="772">
        <v>0.61</v>
      </c>
      <c r="E108" s="772">
        <v>0.12</v>
      </c>
      <c r="F108" s="772">
        <v>0.14000000000000001</v>
      </c>
      <c r="G108" s="772">
        <v>0.3</v>
      </c>
      <c r="H108" s="772">
        <v>0.08</v>
      </c>
      <c r="I108" s="772">
        <v>-0.02</v>
      </c>
      <c r="J108" s="772">
        <v>0.04</v>
      </c>
      <c r="K108" s="773">
        <v>0.28999999999999998</v>
      </c>
      <c r="L108" s="773">
        <v>0.16</v>
      </c>
      <c r="M108" s="772">
        <v>-0.14000000000000001</v>
      </c>
      <c r="N108" s="772">
        <v>0.09</v>
      </c>
      <c r="O108" s="774">
        <v>2.44</v>
      </c>
      <c r="P108" s="760"/>
    </row>
    <row r="109" spans="2:16" s="659" customFormat="1" ht="15.75">
      <c r="B109" s="775" t="s">
        <v>1570</v>
      </c>
      <c r="C109" s="776">
        <v>1.29</v>
      </c>
      <c r="D109" s="776">
        <v>0.44</v>
      </c>
      <c r="E109" s="776">
        <v>-0.06</v>
      </c>
      <c r="F109" s="776">
        <v>0.39</v>
      </c>
      <c r="G109" s="776">
        <v>0.5</v>
      </c>
      <c r="H109" s="776">
        <v>-0.06</v>
      </c>
      <c r="I109" s="776">
        <v>-0.1</v>
      </c>
      <c r="J109" s="776">
        <v>0.02</v>
      </c>
      <c r="K109" s="777">
        <v>0.1</v>
      </c>
      <c r="L109" s="777">
        <v>0.36</v>
      </c>
      <c r="M109" s="776">
        <v>-0.49</v>
      </c>
      <c r="N109" s="777">
        <v>0.08</v>
      </c>
      <c r="O109" s="778">
        <v>2.52</v>
      </c>
      <c r="P109" s="760"/>
    </row>
    <row r="110" spans="2:16" s="659" customFormat="1" ht="15.75">
      <c r="B110" s="771" t="s">
        <v>1571</v>
      </c>
      <c r="C110" s="772">
        <v>0.63</v>
      </c>
      <c r="D110" s="772">
        <v>0.42</v>
      </c>
      <c r="E110" s="772">
        <v>0.3</v>
      </c>
      <c r="F110" s="772">
        <v>-0.17</v>
      </c>
      <c r="G110" s="772">
        <v>0.56000000000000005</v>
      </c>
      <c r="H110" s="772">
        <v>0.36</v>
      </c>
      <c r="I110" s="772">
        <v>-0.13</v>
      </c>
      <c r="J110" s="772">
        <v>0.31</v>
      </c>
      <c r="K110" s="773">
        <v>0.57999999999999996</v>
      </c>
      <c r="L110" s="773">
        <v>0.03</v>
      </c>
      <c r="M110" s="772">
        <v>0.02</v>
      </c>
      <c r="N110" s="773">
        <v>0.09</v>
      </c>
      <c r="O110" s="779">
        <v>3.03</v>
      </c>
      <c r="P110" s="760"/>
    </row>
    <row r="111" spans="2:16" s="659" customFormat="1" ht="15.75">
      <c r="B111" s="775" t="s">
        <v>1572</v>
      </c>
      <c r="C111" s="776">
        <v>0.02</v>
      </c>
      <c r="D111" s="776">
        <v>0</v>
      </c>
      <c r="E111" s="776">
        <v>7.0000000000000007E-2</v>
      </c>
      <c r="F111" s="776">
        <v>0</v>
      </c>
      <c r="G111" s="776">
        <v>0.11</v>
      </c>
      <c r="H111" s="776">
        <v>0.06</v>
      </c>
      <c r="I111" s="776">
        <v>0.11</v>
      </c>
      <c r="J111" s="776">
        <v>-0.05</v>
      </c>
      <c r="K111" s="777">
        <v>0.04</v>
      </c>
      <c r="L111" s="777">
        <v>0.15</v>
      </c>
      <c r="M111" s="776">
        <v>0.14000000000000001</v>
      </c>
      <c r="N111" s="777">
        <v>0.09</v>
      </c>
      <c r="O111" s="778">
        <v>0.75</v>
      </c>
      <c r="P111" s="760"/>
    </row>
    <row r="112" spans="2:16" s="659" customFormat="1" ht="15.75">
      <c r="B112" s="771" t="s">
        <v>1573</v>
      </c>
      <c r="C112" s="772">
        <v>0.93</v>
      </c>
      <c r="D112" s="772">
        <v>1</v>
      </c>
      <c r="E112" s="772">
        <v>0.82</v>
      </c>
      <c r="F112" s="772">
        <v>0.45</v>
      </c>
      <c r="G112" s="772">
        <v>0.18</v>
      </c>
      <c r="H112" s="772">
        <v>0</v>
      </c>
      <c r="I112" s="772">
        <v>0.23</v>
      </c>
      <c r="J112" s="772">
        <v>0.14000000000000001</v>
      </c>
      <c r="K112" s="773">
        <v>0.16</v>
      </c>
      <c r="L112" s="773">
        <v>0.19</v>
      </c>
      <c r="M112" s="772">
        <v>0.05</v>
      </c>
      <c r="N112" s="773">
        <v>0.04</v>
      </c>
      <c r="O112" s="779">
        <v>4.2699999999999996</v>
      </c>
      <c r="P112" s="760"/>
    </row>
    <row r="113" spans="2:19" s="659" customFormat="1" ht="15.75">
      <c r="B113" s="775" t="s">
        <v>1574</v>
      </c>
      <c r="C113" s="776">
        <v>0.01</v>
      </c>
      <c r="D113" s="776">
        <v>4.24</v>
      </c>
      <c r="E113" s="776">
        <v>0.02</v>
      </c>
      <c r="F113" s="776">
        <v>0</v>
      </c>
      <c r="G113" s="776">
        <v>0</v>
      </c>
      <c r="H113" s="776">
        <v>0</v>
      </c>
      <c r="I113" s="776">
        <v>0.01</v>
      </c>
      <c r="J113" s="776">
        <v>0.11</v>
      </c>
      <c r="K113" s="777">
        <v>0.2</v>
      </c>
      <c r="L113" s="777">
        <v>0</v>
      </c>
      <c r="M113" s="776">
        <v>-0.01</v>
      </c>
      <c r="N113" s="777">
        <v>0</v>
      </c>
      <c r="O113" s="778">
        <v>4.59</v>
      </c>
      <c r="P113" s="760"/>
    </row>
    <row r="114" spans="2:19" s="659" customFormat="1" ht="15.75">
      <c r="B114" s="771" t="s">
        <v>1575</v>
      </c>
      <c r="C114" s="772">
        <v>7.0000000000000007E-2</v>
      </c>
      <c r="D114" s="772">
        <v>-0.13</v>
      </c>
      <c r="E114" s="772">
        <v>-0.57999999999999996</v>
      </c>
      <c r="F114" s="772">
        <v>0.03</v>
      </c>
      <c r="G114" s="772">
        <v>-0.31</v>
      </c>
      <c r="H114" s="772">
        <v>1.1399999999999999</v>
      </c>
      <c r="I114" s="772">
        <v>0.27</v>
      </c>
      <c r="J114" s="772">
        <v>-0.74</v>
      </c>
      <c r="K114" s="773">
        <v>-0.2</v>
      </c>
      <c r="L114" s="773">
        <v>-0.09</v>
      </c>
      <c r="M114" s="772">
        <v>0.01</v>
      </c>
      <c r="N114" s="773">
        <v>1.0900000000000001</v>
      </c>
      <c r="O114" s="779">
        <v>0.53</v>
      </c>
      <c r="P114" s="760"/>
      <c r="S114" s="785"/>
    </row>
    <row r="115" spans="2:19" s="659" customFormat="1" ht="15.75">
      <c r="B115" s="775" t="s">
        <v>1576</v>
      </c>
      <c r="C115" s="776">
        <v>0.81</v>
      </c>
      <c r="D115" s="776">
        <v>0.28999999999999998</v>
      </c>
      <c r="E115" s="776">
        <v>0.26</v>
      </c>
      <c r="F115" s="776">
        <v>0.32</v>
      </c>
      <c r="G115" s="776">
        <v>-0.14000000000000001</v>
      </c>
      <c r="H115" s="776">
        <v>-0.31</v>
      </c>
      <c r="I115" s="776">
        <v>0.18</v>
      </c>
      <c r="J115" s="776">
        <v>-0.32</v>
      </c>
      <c r="K115" s="777">
        <v>0.38</v>
      </c>
      <c r="L115" s="777">
        <v>0.21</v>
      </c>
      <c r="M115" s="776">
        <v>-0.09</v>
      </c>
      <c r="N115" s="777">
        <v>-0.14000000000000001</v>
      </c>
      <c r="O115" s="778">
        <v>1.45</v>
      </c>
      <c r="P115" s="760"/>
      <c r="S115" s="785"/>
    </row>
    <row r="116" spans="2:19" s="659" customFormat="1" ht="15.75">
      <c r="B116" s="771" t="s">
        <v>1577</v>
      </c>
      <c r="C116" s="772">
        <v>-0.16</v>
      </c>
      <c r="D116" s="772">
        <v>0.35</v>
      </c>
      <c r="E116" s="772">
        <v>-0.02</v>
      </c>
      <c r="F116" s="772">
        <v>0.8</v>
      </c>
      <c r="G116" s="772">
        <v>-0.06</v>
      </c>
      <c r="H116" s="772">
        <v>-7.0000000000000007E-2</v>
      </c>
      <c r="I116" s="772">
        <v>-0.1</v>
      </c>
      <c r="J116" s="772">
        <v>-0.1</v>
      </c>
      <c r="K116" s="773">
        <v>-0.02</v>
      </c>
      <c r="L116" s="773">
        <v>0.06</v>
      </c>
      <c r="M116" s="772">
        <v>0.1</v>
      </c>
      <c r="N116" s="773">
        <v>0.78</v>
      </c>
      <c r="O116" s="779">
        <v>1.57</v>
      </c>
      <c r="P116" s="760"/>
      <c r="S116" s="785"/>
    </row>
    <row r="117" spans="2:19" s="659" customFormat="1" ht="15.75">
      <c r="B117" s="780" t="s">
        <v>1578</v>
      </c>
      <c r="C117" s="781">
        <v>0.49</v>
      </c>
      <c r="D117" s="781">
        <v>0.39</v>
      </c>
      <c r="E117" s="781">
        <v>-0.03</v>
      </c>
      <c r="F117" s="781">
        <v>-0.01</v>
      </c>
      <c r="G117" s="781">
        <v>0.08</v>
      </c>
      <c r="H117" s="781">
        <v>0.01</v>
      </c>
      <c r="I117" s="781">
        <v>0.09</v>
      </c>
      <c r="J117" s="781">
        <v>0.06</v>
      </c>
      <c r="K117" s="782">
        <v>0.13</v>
      </c>
      <c r="L117" s="782">
        <v>0.15</v>
      </c>
      <c r="M117" s="781">
        <v>-0.06</v>
      </c>
      <c r="N117" s="782">
        <v>-0.03</v>
      </c>
      <c r="O117" s="783">
        <v>1.28</v>
      </c>
      <c r="P117" s="760"/>
      <c r="S117" s="785"/>
    </row>
    <row r="118" spans="2:19" s="659" customFormat="1" ht="16.5" thickBot="1">
      <c r="B118" s="786" t="s">
        <v>1536</v>
      </c>
      <c r="C118" s="787"/>
      <c r="D118" s="787"/>
      <c r="E118" s="787"/>
      <c r="F118" s="787"/>
      <c r="G118" s="787"/>
      <c r="H118" s="787"/>
      <c r="I118" s="787"/>
      <c r="J118" s="787"/>
      <c r="K118" s="787"/>
      <c r="L118" s="787"/>
      <c r="M118" s="787"/>
      <c r="N118" s="787"/>
      <c r="O118" s="788"/>
      <c r="P118" s="760"/>
      <c r="S118" s="785"/>
    </row>
    <row r="119" spans="2:19" s="659" customFormat="1" ht="16.5" thickBot="1">
      <c r="S119" s="785"/>
    </row>
    <row r="120" spans="2:19" s="659" customFormat="1" ht="15.75">
      <c r="B120" s="789"/>
      <c r="C120" s="790"/>
      <c r="D120" s="790"/>
      <c r="E120" s="790"/>
      <c r="F120" s="790"/>
      <c r="G120" s="790"/>
      <c r="H120" s="790"/>
      <c r="I120" s="790"/>
      <c r="J120" s="790"/>
      <c r="K120" s="790"/>
      <c r="L120" s="790"/>
      <c r="M120" s="790"/>
      <c r="N120" s="790"/>
      <c r="O120" s="790"/>
      <c r="P120" s="790"/>
      <c r="Q120" s="790"/>
      <c r="R120" s="791"/>
      <c r="S120" s="785"/>
    </row>
    <row r="121" spans="2:19" s="659" customFormat="1" ht="15.75">
      <c r="B121" s="740" t="s">
        <v>1580</v>
      </c>
      <c r="C121" s="792"/>
      <c r="D121" s="792"/>
      <c r="E121" s="792"/>
      <c r="F121" s="792"/>
      <c r="G121" s="792"/>
      <c r="H121" s="792"/>
      <c r="I121" s="792"/>
      <c r="J121" s="792"/>
      <c r="K121" s="792"/>
      <c r="L121" s="792"/>
      <c r="M121" s="792"/>
      <c r="N121" s="792"/>
      <c r="O121" s="792"/>
      <c r="P121" s="792"/>
      <c r="Q121" s="741"/>
      <c r="R121" s="742"/>
      <c r="S121" s="785"/>
    </row>
    <row r="122" spans="2:19" s="659" customFormat="1" ht="15.75">
      <c r="B122" s="740" t="s">
        <v>1552</v>
      </c>
      <c r="C122" s="792"/>
      <c r="D122" s="792"/>
      <c r="E122" s="792"/>
      <c r="F122" s="792"/>
      <c r="G122" s="792"/>
      <c r="H122" s="792"/>
      <c r="I122" s="792"/>
      <c r="J122" s="792"/>
      <c r="K122" s="792"/>
      <c r="L122" s="792"/>
      <c r="M122" s="792"/>
      <c r="N122" s="792"/>
      <c r="O122" s="792"/>
      <c r="P122" s="792"/>
      <c r="Q122" s="741"/>
      <c r="R122" s="742"/>
      <c r="S122" s="785"/>
    </row>
    <row r="123" spans="2:19" s="659" customFormat="1" ht="15.75">
      <c r="B123" s="740" t="s">
        <v>1581</v>
      </c>
      <c r="C123" s="792"/>
      <c r="D123" s="792"/>
      <c r="E123" s="792"/>
      <c r="F123" s="792"/>
      <c r="G123" s="792"/>
      <c r="H123" s="792"/>
      <c r="I123" s="792"/>
      <c r="J123" s="792"/>
      <c r="K123" s="792"/>
      <c r="L123" s="792"/>
      <c r="M123" s="792"/>
      <c r="N123" s="792"/>
      <c r="O123" s="792"/>
      <c r="P123" s="792"/>
      <c r="Q123" s="741"/>
      <c r="R123" s="742"/>
      <c r="S123" s="785"/>
    </row>
    <row r="124" spans="2:19" s="659" customFormat="1" ht="16.5" thickBot="1">
      <c r="B124" s="740"/>
      <c r="C124" s="792"/>
      <c r="D124" s="792"/>
      <c r="E124" s="792"/>
      <c r="F124" s="792"/>
      <c r="G124" s="792"/>
      <c r="H124" s="792"/>
      <c r="I124" s="792"/>
      <c r="J124" s="792"/>
      <c r="K124" s="792"/>
      <c r="L124" s="792"/>
      <c r="M124" s="792"/>
      <c r="N124" s="792"/>
      <c r="O124" s="792"/>
      <c r="P124" s="792"/>
      <c r="Q124" s="741"/>
      <c r="R124" s="742"/>
      <c r="S124" s="785"/>
    </row>
    <row r="125" spans="2:19" s="659" customFormat="1" ht="16.5" thickBot="1">
      <c r="B125" s="793" t="s">
        <v>1582</v>
      </c>
      <c r="C125" s="758"/>
      <c r="D125" s="758"/>
      <c r="E125" s="758"/>
      <c r="F125" s="758"/>
      <c r="G125" s="758"/>
      <c r="H125" s="758"/>
      <c r="I125" s="758"/>
      <c r="J125" s="758"/>
      <c r="K125" s="758"/>
      <c r="L125" s="758"/>
      <c r="M125" s="758"/>
      <c r="N125" s="758"/>
      <c r="O125" s="758"/>
      <c r="P125" s="794"/>
      <c r="Q125" s="795"/>
      <c r="R125" s="796" t="s">
        <v>1555</v>
      </c>
      <c r="S125" s="785"/>
    </row>
    <row r="126" spans="2:19" s="659" customFormat="1" ht="17.25" thickTop="1" thickBot="1">
      <c r="B126" s="797" t="s">
        <v>1567</v>
      </c>
      <c r="C126" s="798">
        <v>1997</v>
      </c>
      <c r="D126" s="798">
        <v>1998</v>
      </c>
      <c r="E126" s="798">
        <v>1999</v>
      </c>
      <c r="F126" s="798">
        <v>2000</v>
      </c>
      <c r="G126" s="798">
        <v>2001</v>
      </c>
      <c r="H126" s="798">
        <v>2002</v>
      </c>
      <c r="I126" s="798">
        <v>2003</v>
      </c>
      <c r="J126" s="798">
        <v>2004</v>
      </c>
      <c r="K126" s="798">
        <v>2005</v>
      </c>
      <c r="L126" s="798">
        <v>2006</v>
      </c>
      <c r="M126" s="798">
        <v>2007</v>
      </c>
      <c r="N126" s="798">
        <v>2008</v>
      </c>
      <c r="O126" s="798">
        <v>2009</v>
      </c>
      <c r="P126" s="798">
        <v>2010</v>
      </c>
      <c r="Q126" s="798">
        <v>2011</v>
      </c>
      <c r="R126" s="799">
        <v>2012</v>
      </c>
      <c r="S126" s="785"/>
    </row>
    <row r="127" spans="2:19" s="659" customFormat="1" ht="15.75">
      <c r="B127" s="800" t="s">
        <v>1538</v>
      </c>
      <c r="C127" s="801">
        <v>1.65</v>
      </c>
      <c r="D127" s="801">
        <v>1.79</v>
      </c>
      <c r="E127" s="801">
        <v>2.21</v>
      </c>
      <c r="F127" s="801">
        <v>1.29</v>
      </c>
      <c r="G127" s="801">
        <v>1.05</v>
      </c>
      <c r="H127" s="801">
        <v>0.8</v>
      </c>
      <c r="I127" s="801">
        <v>1.17</v>
      </c>
      <c r="J127" s="801">
        <v>0.89</v>
      </c>
      <c r="K127" s="801">
        <v>0.82</v>
      </c>
      <c r="L127" s="801">
        <v>0.54</v>
      </c>
      <c r="M127" s="801">
        <v>0.77</v>
      </c>
      <c r="N127" s="801">
        <v>1.06</v>
      </c>
      <c r="O127" s="801">
        <v>0.59</v>
      </c>
      <c r="P127" s="801">
        <v>0.69</v>
      </c>
      <c r="Q127" s="801">
        <v>0.91</v>
      </c>
      <c r="R127" s="802">
        <v>0.73</v>
      </c>
      <c r="S127" s="785"/>
    </row>
    <row r="128" spans="2:19" s="659" customFormat="1" ht="15.75">
      <c r="B128" s="803" t="s">
        <v>1539</v>
      </c>
      <c r="C128" s="804">
        <v>3.11</v>
      </c>
      <c r="D128" s="804">
        <v>3.28</v>
      </c>
      <c r="E128" s="804">
        <v>1.7</v>
      </c>
      <c r="F128" s="804">
        <v>2.2999999999999998</v>
      </c>
      <c r="G128" s="804">
        <v>1.89</v>
      </c>
      <c r="H128" s="804">
        <v>1.26</v>
      </c>
      <c r="I128" s="804">
        <v>1.1100000000000001</v>
      </c>
      <c r="J128" s="804">
        <v>1.2</v>
      </c>
      <c r="K128" s="804">
        <v>1.02</v>
      </c>
      <c r="L128" s="804">
        <v>0.66</v>
      </c>
      <c r="M128" s="804">
        <v>1.17</v>
      </c>
      <c r="N128" s="804">
        <v>1.51</v>
      </c>
      <c r="O128" s="804">
        <v>0.84</v>
      </c>
      <c r="P128" s="804">
        <v>0.83</v>
      </c>
      <c r="Q128" s="804">
        <v>0.6</v>
      </c>
      <c r="R128" s="805">
        <v>0.61</v>
      </c>
      <c r="S128" s="785"/>
    </row>
    <row r="129" spans="2:19" s="659" customFormat="1" ht="15.75">
      <c r="B129" s="800" t="s">
        <v>1540</v>
      </c>
      <c r="C129" s="801">
        <v>1.55</v>
      </c>
      <c r="D129" s="801">
        <v>2.6</v>
      </c>
      <c r="E129" s="801">
        <v>0.94</v>
      </c>
      <c r="F129" s="801">
        <v>1.71</v>
      </c>
      <c r="G129" s="801">
        <v>1.48</v>
      </c>
      <c r="H129" s="801">
        <v>0.71</v>
      </c>
      <c r="I129" s="801">
        <v>1.05</v>
      </c>
      <c r="J129" s="801">
        <v>0.98</v>
      </c>
      <c r="K129" s="801">
        <v>0.77</v>
      </c>
      <c r="L129" s="801">
        <v>0.7</v>
      </c>
      <c r="M129" s="801">
        <v>1.21</v>
      </c>
      <c r="N129" s="801">
        <v>0.81</v>
      </c>
      <c r="O129" s="801">
        <v>0.5</v>
      </c>
      <c r="P129" s="801">
        <v>0.25</v>
      </c>
      <c r="Q129" s="801">
        <v>0.27</v>
      </c>
      <c r="R129" s="802">
        <v>0.12</v>
      </c>
      <c r="S129" s="806"/>
    </row>
    <row r="130" spans="2:19" s="659" customFormat="1" ht="15.75">
      <c r="B130" s="803" t="s">
        <v>1541</v>
      </c>
      <c r="C130" s="804">
        <v>1.62</v>
      </c>
      <c r="D130" s="804">
        <v>2.9</v>
      </c>
      <c r="E130" s="804">
        <v>0.78</v>
      </c>
      <c r="F130" s="804">
        <v>1</v>
      </c>
      <c r="G130" s="804">
        <v>1.1499999999999999</v>
      </c>
      <c r="H130" s="804">
        <v>0.92</v>
      </c>
      <c r="I130" s="804">
        <v>1.1499999999999999</v>
      </c>
      <c r="J130" s="804">
        <v>0.46</v>
      </c>
      <c r="K130" s="804">
        <v>0.44</v>
      </c>
      <c r="L130" s="804">
        <v>0.45</v>
      </c>
      <c r="M130" s="804">
        <v>0.9</v>
      </c>
      <c r="N130" s="804">
        <v>0.71</v>
      </c>
      <c r="O130" s="804">
        <v>0.32</v>
      </c>
      <c r="P130" s="804">
        <v>0.46</v>
      </c>
      <c r="Q130" s="804">
        <v>0.12</v>
      </c>
      <c r="R130" s="805">
        <v>0.14000000000000001</v>
      </c>
      <c r="S130" s="785"/>
    </row>
    <row r="131" spans="2:19" s="659" customFormat="1" ht="15.75">
      <c r="B131" s="800" t="s">
        <v>1542</v>
      </c>
      <c r="C131" s="801">
        <v>1.62</v>
      </c>
      <c r="D131" s="801">
        <v>1.56</v>
      </c>
      <c r="E131" s="801">
        <v>0.48</v>
      </c>
      <c r="F131" s="801">
        <v>0.52</v>
      </c>
      <c r="G131" s="801">
        <v>0.42</v>
      </c>
      <c r="H131" s="801">
        <v>0.6</v>
      </c>
      <c r="I131" s="801">
        <v>0.49</v>
      </c>
      <c r="J131" s="801">
        <v>0.38</v>
      </c>
      <c r="K131" s="801">
        <v>0.41</v>
      </c>
      <c r="L131" s="801">
        <v>0.33</v>
      </c>
      <c r="M131" s="801">
        <v>0.3</v>
      </c>
      <c r="N131" s="801">
        <v>0.93</v>
      </c>
      <c r="O131" s="801">
        <v>0.01</v>
      </c>
      <c r="P131" s="801">
        <v>0.1</v>
      </c>
      <c r="Q131" s="801">
        <v>0.28000000000000003</v>
      </c>
      <c r="R131" s="802">
        <v>0.3</v>
      </c>
      <c r="S131" s="785"/>
    </row>
    <row r="132" spans="2:19" s="659" customFormat="1" ht="15.75">
      <c r="B132" s="803" t="s">
        <v>1543</v>
      </c>
      <c r="C132" s="804">
        <v>1.2</v>
      </c>
      <c r="D132" s="804">
        <v>1.22</v>
      </c>
      <c r="E132" s="804">
        <v>0.28000000000000003</v>
      </c>
      <c r="F132" s="804">
        <v>-0.02</v>
      </c>
      <c r="G132" s="804">
        <v>0.04</v>
      </c>
      <c r="H132" s="804">
        <v>0.43</v>
      </c>
      <c r="I132" s="804">
        <v>-0.05</v>
      </c>
      <c r="J132" s="804">
        <v>0.6</v>
      </c>
      <c r="K132" s="804">
        <v>0.4</v>
      </c>
      <c r="L132" s="804">
        <v>0.3</v>
      </c>
      <c r="M132" s="804">
        <v>0.12</v>
      </c>
      <c r="N132" s="804">
        <v>0.86</v>
      </c>
      <c r="O132" s="804">
        <v>-0.06</v>
      </c>
      <c r="P132" s="804">
        <v>0.11</v>
      </c>
      <c r="Q132" s="804">
        <v>0.32</v>
      </c>
      <c r="R132" s="805">
        <v>0.08</v>
      </c>
      <c r="S132" s="785"/>
    </row>
    <row r="133" spans="2:19" s="659" customFormat="1" ht="15.75">
      <c r="B133" s="800" t="s">
        <v>1544</v>
      </c>
      <c r="C133" s="801">
        <v>0.83</v>
      </c>
      <c r="D133" s="801">
        <v>0.47</v>
      </c>
      <c r="E133" s="801">
        <v>0.31</v>
      </c>
      <c r="F133" s="801">
        <v>-0.04</v>
      </c>
      <c r="G133" s="801">
        <v>0.11</v>
      </c>
      <c r="H133" s="801">
        <v>0.02</v>
      </c>
      <c r="I133" s="801">
        <v>-0.14000000000000001</v>
      </c>
      <c r="J133" s="801">
        <v>-0.03</v>
      </c>
      <c r="K133" s="801">
        <v>0.05</v>
      </c>
      <c r="L133" s="801">
        <v>0.41</v>
      </c>
      <c r="M133" s="801">
        <v>0.17</v>
      </c>
      <c r="N133" s="801">
        <v>0.48</v>
      </c>
      <c r="O133" s="801">
        <v>-0.04</v>
      </c>
      <c r="P133" s="801">
        <v>-0.04</v>
      </c>
      <c r="Q133" s="801">
        <v>0.14000000000000001</v>
      </c>
      <c r="R133" s="802">
        <v>-0.02</v>
      </c>
    </row>
    <row r="134" spans="2:19" s="659" customFormat="1" ht="15.75">
      <c r="B134" s="803" t="s">
        <v>1545</v>
      </c>
      <c r="C134" s="804">
        <v>1.1399999999999999</v>
      </c>
      <c r="D134" s="804">
        <v>0.03</v>
      </c>
      <c r="E134" s="804">
        <v>0.5</v>
      </c>
      <c r="F134" s="804">
        <v>0.32</v>
      </c>
      <c r="G134" s="804">
        <v>0.26</v>
      </c>
      <c r="H134" s="804">
        <v>0.09</v>
      </c>
      <c r="I134" s="804">
        <v>0.31</v>
      </c>
      <c r="J134" s="804">
        <v>0.03</v>
      </c>
      <c r="K134" s="804">
        <v>0</v>
      </c>
      <c r="L134" s="804">
        <v>0.39</v>
      </c>
      <c r="M134" s="804">
        <v>-0.13</v>
      </c>
      <c r="N134" s="804">
        <v>0.19</v>
      </c>
      <c r="O134" s="804">
        <v>0.04</v>
      </c>
      <c r="P134" s="804">
        <v>0.11</v>
      </c>
      <c r="Q134" s="804">
        <v>-0.03</v>
      </c>
      <c r="R134" s="805">
        <v>0.04</v>
      </c>
    </row>
    <row r="135" spans="2:19" s="659" customFormat="1" ht="15.75">
      <c r="B135" s="800" t="s">
        <v>1546</v>
      </c>
      <c r="C135" s="801">
        <v>1.26</v>
      </c>
      <c r="D135" s="801">
        <v>0.28999999999999998</v>
      </c>
      <c r="E135" s="801">
        <v>0.33</v>
      </c>
      <c r="F135" s="801">
        <v>0.43</v>
      </c>
      <c r="G135" s="801">
        <v>0.37</v>
      </c>
      <c r="H135" s="801">
        <v>0.36</v>
      </c>
      <c r="I135" s="801">
        <v>0.22</v>
      </c>
      <c r="J135" s="801">
        <v>0.3</v>
      </c>
      <c r="K135" s="801">
        <v>0.43</v>
      </c>
      <c r="L135" s="801">
        <v>0.28999999999999998</v>
      </c>
      <c r="M135" s="807">
        <v>0.08</v>
      </c>
      <c r="N135" s="801">
        <v>-0.19</v>
      </c>
      <c r="O135" s="801">
        <v>-0.11</v>
      </c>
      <c r="P135" s="801">
        <v>-0.14000000000000001</v>
      </c>
      <c r="Q135" s="801">
        <v>0.31</v>
      </c>
      <c r="R135" s="802">
        <v>0.28999999999999998</v>
      </c>
    </row>
    <row r="136" spans="2:19" s="659" customFormat="1" ht="15.75">
      <c r="B136" s="803" t="s">
        <v>1547</v>
      </c>
      <c r="C136" s="804">
        <v>0.96</v>
      </c>
      <c r="D136" s="804">
        <v>0.35</v>
      </c>
      <c r="E136" s="804">
        <v>0.35</v>
      </c>
      <c r="F136" s="804">
        <v>0.15</v>
      </c>
      <c r="G136" s="804">
        <v>0.19</v>
      </c>
      <c r="H136" s="804">
        <v>0.56000000000000005</v>
      </c>
      <c r="I136" s="804">
        <v>0.06</v>
      </c>
      <c r="J136" s="804">
        <v>-0.01</v>
      </c>
      <c r="K136" s="804">
        <v>0.23</v>
      </c>
      <c r="L136" s="804">
        <v>-0.14000000000000001</v>
      </c>
      <c r="M136" s="804">
        <v>0.01</v>
      </c>
      <c r="N136" s="804">
        <v>0.35</v>
      </c>
      <c r="O136" s="804">
        <v>-0.13</v>
      </c>
      <c r="P136" s="804">
        <v>-0.09</v>
      </c>
      <c r="Q136" s="804">
        <v>0.19</v>
      </c>
      <c r="R136" s="805">
        <v>0.16</v>
      </c>
    </row>
    <row r="137" spans="2:19" s="659" customFormat="1" ht="15.75">
      <c r="B137" s="800" t="s">
        <v>1548</v>
      </c>
      <c r="C137" s="801">
        <v>0.81</v>
      </c>
      <c r="D137" s="801">
        <v>0.17</v>
      </c>
      <c r="E137" s="801">
        <v>0.48</v>
      </c>
      <c r="F137" s="801">
        <v>0.33</v>
      </c>
      <c r="G137" s="801">
        <v>0.12</v>
      </c>
      <c r="H137" s="801">
        <v>0.78</v>
      </c>
      <c r="I137" s="801">
        <v>0.35</v>
      </c>
      <c r="J137" s="801">
        <v>0.28000000000000003</v>
      </c>
      <c r="K137" s="801">
        <v>0.11</v>
      </c>
      <c r="L137" s="801">
        <v>0.24</v>
      </c>
      <c r="M137" s="801">
        <v>0.47</v>
      </c>
      <c r="N137" s="801">
        <v>0.28000000000000003</v>
      </c>
      <c r="O137" s="801">
        <v>-7.0000000000000007E-2</v>
      </c>
      <c r="P137" s="801">
        <v>0.19</v>
      </c>
      <c r="Q137" s="801">
        <v>0.14000000000000001</v>
      </c>
      <c r="R137" s="802">
        <v>-0.14000000000000001</v>
      </c>
    </row>
    <row r="138" spans="2:19" s="659" customFormat="1" ht="15.75">
      <c r="B138" s="803" t="s">
        <v>1549</v>
      </c>
      <c r="C138" s="804">
        <v>0.61</v>
      </c>
      <c r="D138" s="804">
        <v>0.91</v>
      </c>
      <c r="E138" s="804">
        <v>0.53</v>
      </c>
      <c r="F138" s="804">
        <v>0.46</v>
      </c>
      <c r="G138" s="804">
        <v>0.34</v>
      </c>
      <c r="H138" s="804">
        <v>0.27</v>
      </c>
      <c r="I138" s="804">
        <v>0.61</v>
      </c>
      <c r="J138" s="804">
        <v>0.3</v>
      </c>
      <c r="K138" s="804">
        <v>7.0000000000000007E-2</v>
      </c>
      <c r="L138" s="804">
        <v>0.23</v>
      </c>
      <c r="M138" s="804">
        <v>0.49</v>
      </c>
      <c r="N138" s="804">
        <v>0.44</v>
      </c>
      <c r="O138" s="804">
        <v>0.08</v>
      </c>
      <c r="P138" s="804">
        <v>0.65</v>
      </c>
      <c r="Q138" s="804">
        <v>0.42</v>
      </c>
      <c r="R138" s="805">
        <v>0.09</v>
      </c>
    </row>
    <row r="139" spans="2:19" s="659" customFormat="1" ht="16.5" thickBot="1">
      <c r="B139" s="800" t="s">
        <v>1560</v>
      </c>
      <c r="C139" s="801">
        <v>17.68</v>
      </c>
      <c r="D139" s="801">
        <v>16.7</v>
      </c>
      <c r="E139" s="801">
        <v>9.23</v>
      </c>
      <c r="F139" s="801">
        <v>8.75</v>
      </c>
      <c r="G139" s="801">
        <v>7.65</v>
      </c>
      <c r="H139" s="801">
        <v>6.99</v>
      </c>
      <c r="I139" s="801">
        <v>6.49</v>
      </c>
      <c r="J139" s="801">
        <v>5.5</v>
      </c>
      <c r="K139" s="801">
        <v>4.8499999999999996</v>
      </c>
      <c r="L139" s="801">
        <v>4.4800000000000004</v>
      </c>
      <c r="M139" s="801">
        <v>5.69</v>
      </c>
      <c r="N139" s="801">
        <v>7.67</v>
      </c>
      <c r="O139" s="801">
        <v>2</v>
      </c>
      <c r="P139" s="801">
        <v>3.17</v>
      </c>
      <c r="Q139" s="801">
        <v>3.73</v>
      </c>
      <c r="R139" s="802">
        <v>2.44</v>
      </c>
    </row>
    <row r="140" spans="2:19" s="659" customFormat="1" ht="15.75">
      <c r="B140" s="1172" t="s">
        <v>1583</v>
      </c>
      <c r="C140" s="1173"/>
      <c r="D140" s="1173"/>
      <c r="E140" s="1173"/>
      <c r="F140" s="1173"/>
      <c r="G140" s="1173"/>
      <c r="H140" s="1173"/>
      <c r="I140" s="1173"/>
      <c r="J140" s="1173"/>
      <c r="K140" s="1173"/>
      <c r="L140" s="1173"/>
      <c r="M140" s="1173"/>
      <c r="N140" s="1173"/>
      <c r="O140" s="1173"/>
      <c r="P140" s="1173"/>
      <c r="Q140" s="1173"/>
      <c r="R140" s="1174"/>
    </row>
    <row r="141" spans="2:19" s="659" customFormat="1" ht="16.5" thickBot="1">
      <c r="B141" s="1175"/>
      <c r="C141" s="1176"/>
      <c r="D141" s="1176"/>
      <c r="E141" s="1176"/>
      <c r="F141" s="1176"/>
      <c r="G141" s="1176"/>
      <c r="H141" s="1176"/>
      <c r="I141" s="1176"/>
      <c r="J141" s="1176"/>
      <c r="K141" s="1176"/>
      <c r="L141" s="1176"/>
      <c r="M141" s="1176"/>
      <c r="N141" s="1176"/>
      <c r="O141" s="1176"/>
      <c r="P141" s="1176"/>
      <c r="Q141" s="1176"/>
      <c r="R141" s="1177"/>
    </row>
    <row r="142" spans="2:19" ht="22.5" customHeight="1"/>
    <row r="143" spans="2:19" ht="22.5" hidden="1" customHeight="1"/>
    <row r="144" spans="2:19" ht="22.5" hidden="1" customHeight="1"/>
    <row r="145" spans="2:2" ht="22.5" hidden="1" customHeight="1">
      <c r="B145" s="627" t="s">
        <v>1516</v>
      </c>
    </row>
    <row r="146" spans="2:2" ht="22.5" hidden="1" customHeight="1">
      <c r="B146" s="627" t="s">
        <v>1517</v>
      </c>
    </row>
    <row r="147" spans="2:2" ht="22.5" hidden="1" customHeight="1"/>
    <row r="148" spans="2:2" ht="22.5" hidden="1" customHeight="1">
      <c r="B148" s="642" t="s">
        <v>1518</v>
      </c>
    </row>
    <row r="149" spans="2:2" ht="22.5" hidden="1" customHeight="1">
      <c r="B149" s="642" t="s">
        <v>1519</v>
      </c>
    </row>
    <row r="150" spans="2:2" ht="22.5" hidden="1" customHeight="1"/>
    <row r="151" spans="2:2" ht="22.5" hidden="1" customHeight="1">
      <c r="B151" s="627" t="s">
        <v>1512</v>
      </c>
    </row>
    <row r="152" spans="2:2" ht="22.5" hidden="1" customHeight="1">
      <c r="B152" s="627" t="s">
        <v>1513</v>
      </c>
    </row>
    <row r="153" spans="2:2" ht="22.5" hidden="1" customHeight="1">
      <c r="B153" s="627" t="s">
        <v>1514</v>
      </c>
    </row>
    <row r="154" spans="2:2" ht="22.5" hidden="1" customHeight="1">
      <c r="B154" s="627" t="s">
        <v>1515</v>
      </c>
    </row>
  </sheetData>
  <sheetProtection password="CC59" sheet="1" objects="1" scenarios="1"/>
  <mergeCells count="9">
    <mergeCell ref="B2:J2"/>
    <mergeCell ref="B41:B51"/>
    <mergeCell ref="G84:H84"/>
    <mergeCell ref="B140:R141"/>
    <mergeCell ref="B75:I75"/>
    <mergeCell ref="B13:D13"/>
    <mergeCell ref="F6:J6"/>
    <mergeCell ref="F13:I13"/>
    <mergeCell ref="B87:I87"/>
  </mergeCells>
  <dataValidations count="2">
    <dataValidation type="list" allowBlank="1" showInputMessage="1" showErrorMessage="1" sqref="F8">
      <formula1>$B$145:$B$146</formula1>
    </dataValidation>
    <dataValidation type="list" allowBlank="1" showInputMessage="1" showErrorMessage="1" sqref="F11">
      <formula1>$B$148:$B$149</formula1>
    </dataValidation>
  </dataValidations>
  <hyperlinks>
    <hyperlink ref="B1" location="'Hoja índice'!A1" display="Indice"/>
  </hyperlinks>
  <pageMargins left="0.7" right="0.7" top="0.75" bottom="0.75" header="0.3" footer="0.3"/>
  <pageSetup orientation="portrait" r:id="rId1"/>
  <ignoredErrors>
    <ignoredError sqref="I37:I38" formulaRange="1"/>
    <ignoredError sqref="G26 J26:L26" 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Hoja2">
    <tabColor theme="4"/>
  </sheetPr>
  <dimension ref="A1:F120"/>
  <sheetViews>
    <sheetView showGridLines="0" zoomScaleNormal="100" zoomScaleSheetLayoutView="100" workbookViewId="0">
      <selection activeCell="B4" sqref="B4"/>
    </sheetView>
  </sheetViews>
  <sheetFormatPr baseColWidth="10" defaultColWidth="0" defaultRowHeight="0" customHeight="1" zeroHeight="1"/>
  <cols>
    <col min="1" max="1" width="1.140625" customWidth="1"/>
    <col min="2" max="2" width="25.5703125" customWidth="1"/>
    <col min="3" max="3" width="16.42578125" customWidth="1"/>
    <col min="4" max="4" width="2.85546875" customWidth="1"/>
    <col min="5" max="5" width="30.42578125" customWidth="1"/>
    <col min="6" max="6" width="3" customWidth="1"/>
    <col min="7" max="16384" width="11.42578125" hidden="1"/>
  </cols>
  <sheetData>
    <row r="1" spans="2:6" ht="36.75" customHeight="1">
      <c r="B1" s="1190" t="s">
        <v>0</v>
      </c>
      <c r="C1" s="1190"/>
      <c r="D1" s="1190"/>
      <c r="E1" s="1190"/>
      <c r="F1" s="2"/>
    </row>
    <row r="2" spans="2:6" ht="15" customHeight="1">
      <c r="B2" s="1191" t="s">
        <v>1</v>
      </c>
      <c r="C2" s="1191"/>
      <c r="D2" s="1191"/>
      <c r="E2" s="1191"/>
      <c r="F2" s="3"/>
    </row>
    <row r="3" spans="2:6" ht="15">
      <c r="B3" s="4"/>
      <c r="C3" s="1192" t="s">
        <v>2</v>
      </c>
      <c r="D3" s="1192"/>
      <c r="E3" s="1192"/>
      <c r="F3" s="3"/>
    </row>
    <row r="4" spans="2:6" ht="15.75" thickBot="1">
      <c r="B4" s="4" t="s">
        <v>2343</v>
      </c>
      <c r="C4" s="6"/>
      <c r="D4" s="6"/>
      <c r="E4" s="5"/>
      <c r="F4" s="7"/>
    </row>
    <row r="5" spans="2:6" ht="15.75" thickBot="1">
      <c r="B5" s="8" t="s">
        <v>3</v>
      </c>
      <c r="C5" s="9"/>
      <c r="D5" s="10"/>
      <c r="E5" s="11" t="s">
        <v>1211</v>
      </c>
      <c r="F5" s="12"/>
    </row>
    <row r="6" spans="2:6" ht="15">
      <c r="B6" s="13" t="str">
        <f t="shared" ref="B6:B69" si="0">+CONCATENATE(C6," ",D6)</f>
        <v>Directivo 1</v>
      </c>
      <c r="C6" s="14" t="s">
        <v>4</v>
      </c>
      <c r="D6" s="15">
        <v>1</v>
      </c>
      <c r="E6" s="16">
        <v>2233354</v>
      </c>
      <c r="F6" s="17"/>
    </row>
    <row r="7" spans="2:6" ht="15">
      <c r="B7" s="18" t="str">
        <f t="shared" si="0"/>
        <v>Directivo 2</v>
      </c>
      <c r="C7" s="19" t="s">
        <v>4</v>
      </c>
      <c r="D7" s="20">
        <v>2</v>
      </c>
      <c r="E7" s="21">
        <v>2497580</v>
      </c>
      <c r="F7" s="17"/>
    </row>
    <row r="8" spans="2:6" ht="15">
      <c r="B8" s="18" t="str">
        <f t="shared" si="0"/>
        <v>Directivo 3</v>
      </c>
      <c r="C8" s="19" t="s">
        <v>4</v>
      </c>
      <c r="D8" s="20">
        <v>3</v>
      </c>
      <c r="E8" s="21">
        <v>2637233</v>
      </c>
      <c r="F8" s="17"/>
    </row>
    <row r="9" spans="2:6" ht="15">
      <c r="B9" s="18" t="str">
        <f t="shared" si="0"/>
        <v>Directivo 4</v>
      </c>
      <c r="C9" s="19" t="s">
        <v>4</v>
      </c>
      <c r="D9" s="20">
        <v>4</v>
      </c>
      <c r="E9" s="21">
        <v>2803049</v>
      </c>
      <c r="F9" s="17"/>
    </row>
    <row r="10" spans="2:6" ht="15">
      <c r="B10" s="18" t="str">
        <f t="shared" si="0"/>
        <v>Directivo 5</v>
      </c>
      <c r="C10" s="19" t="s">
        <v>4</v>
      </c>
      <c r="D10" s="20">
        <v>5</v>
      </c>
      <c r="E10" s="21">
        <v>2875180</v>
      </c>
      <c r="F10" s="17"/>
    </row>
    <row r="11" spans="2:6" ht="15">
      <c r="B11" s="18" t="str">
        <f t="shared" si="0"/>
        <v>Directivo 6</v>
      </c>
      <c r="C11" s="19" t="s">
        <v>4</v>
      </c>
      <c r="D11" s="20">
        <v>6</v>
      </c>
      <c r="E11" s="21">
        <v>3002689</v>
      </c>
      <c r="F11" s="17"/>
    </row>
    <row r="12" spans="2:6" ht="15">
      <c r="B12" s="18" t="str">
        <f t="shared" si="0"/>
        <v>Directivo 7</v>
      </c>
      <c r="C12" s="19" t="s">
        <v>4</v>
      </c>
      <c r="D12" s="20">
        <v>7</v>
      </c>
      <c r="E12" s="21">
        <v>3182234</v>
      </c>
      <c r="F12" s="17"/>
    </row>
    <row r="13" spans="2:6" ht="15">
      <c r="B13" s="18" t="str">
        <f t="shared" si="0"/>
        <v>Directivo 8</v>
      </c>
      <c r="C13" s="19" t="s">
        <v>4</v>
      </c>
      <c r="D13" s="20">
        <v>8</v>
      </c>
      <c r="E13" s="21">
        <v>3252416</v>
      </c>
      <c r="F13" s="17"/>
    </row>
    <row r="14" spans="2:6" ht="15">
      <c r="B14" s="18" t="str">
        <f t="shared" si="0"/>
        <v>Directivo 9</v>
      </c>
      <c r="C14" s="19" t="s">
        <v>4</v>
      </c>
      <c r="D14" s="20">
        <v>9</v>
      </c>
      <c r="E14" s="21">
        <v>3372970</v>
      </c>
      <c r="F14" s="17"/>
    </row>
    <row r="15" spans="2:6" ht="15">
      <c r="B15" s="18" t="str">
        <f t="shared" si="0"/>
        <v>Directivo 10</v>
      </c>
      <c r="C15" s="19" t="s">
        <v>4</v>
      </c>
      <c r="D15" s="20">
        <v>10</v>
      </c>
      <c r="E15" s="21">
        <v>3623537</v>
      </c>
      <c r="F15" s="17"/>
    </row>
    <row r="16" spans="2:6" ht="15">
      <c r="B16" s="18" t="str">
        <f t="shared" si="0"/>
        <v>Directivo 11</v>
      </c>
      <c r="C16" s="19" t="s">
        <v>4</v>
      </c>
      <c r="D16" s="20">
        <v>11</v>
      </c>
      <c r="E16" s="21">
        <v>3679737</v>
      </c>
      <c r="F16" s="17"/>
    </row>
    <row r="17" spans="2:6" ht="15">
      <c r="B17" s="18" t="str">
        <f t="shared" si="0"/>
        <v>Directivo 12</v>
      </c>
      <c r="C17" s="19" t="s">
        <v>4</v>
      </c>
      <c r="D17" s="20">
        <v>12</v>
      </c>
      <c r="E17" s="21">
        <v>3795848</v>
      </c>
      <c r="F17" s="17"/>
    </row>
    <row r="18" spans="2:6" ht="15">
      <c r="B18" s="18" t="str">
        <f t="shared" si="0"/>
        <v>Directivo 13</v>
      </c>
      <c r="C18" s="19" t="s">
        <v>4</v>
      </c>
      <c r="D18" s="20">
        <v>13</v>
      </c>
      <c r="E18" s="21">
        <v>3960173</v>
      </c>
      <c r="F18" s="17"/>
    </row>
    <row r="19" spans="2:6" ht="15">
      <c r="B19" s="18" t="str">
        <f t="shared" si="0"/>
        <v>Directivo 14</v>
      </c>
      <c r="C19" s="19" t="s">
        <v>4</v>
      </c>
      <c r="D19" s="20">
        <v>14</v>
      </c>
      <c r="E19" s="21">
        <v>4260338</v>
      </c>
      <c r="F19" s="17"/>
    </row>
    <row r="20" spans="2:6" ht="15">
      <c r="B20" s="18" t="str">
        <f t="shared" si="0"/>
        <v>Directivo 15</v>
      </c>
      <c r="C20" s="19" t="s">
        <v>4</v>
      </c>
      <c r="D20" s="20">
        <v>15</v>
      </c>
      <c r="E20" s="21">
        <v>4319249</v>
      </c>
      <c r="F20" s="17"/>
    </row>
    <row r="21" spans="2:6" ht="15">
      <c r="B21" s="18" t="str">
        <f t="shared" si="0"/>
        <v>Directivo 16</v>
      </c>
      <c r="C21" s="19" t="s">
        <v>4</v>
      </c>
      <c r="D21" s="20">
        <v>16</v>
      </c>
      <c r="E21" s="21">
        <v>4555421</v>
      </c>
      <c r="F21" s="17"/>
    </row>
    <row r="22" spans="2:6" ht="15">
      <c r="B22" s="18" t="str">
        <f t="shared" si="0"/>
        <v>Directivo 17</v>
      </c>
      <c r="C22" s="19" t="s">
        <v>4</v>
      </c>
      <c r="D22" s="20">
        <v>17</v>
      </c>
      <c r="E22" s="21">
        <v>4933677</v>
      </c>
      <c r="F22" s="17"/>
    </row>
    <row r="23" spans="2:6" ht="15">
      <c r="B23" s="18" t="str">
        <f t="shared" si="0"/>
        <v>Directivo 18</v>
      </c>
      <c r="C23" s="19" t="s">
        <v>4</v>
      </c>
      <c r="D23" s="20">
        <v>18</v>
      </c>
      <c r="E23" s="21">
        <v>5312782</v>
      </c>
      <c r="F23" s="17"/>
    </row>
    <row r="24" spans="2:6" ht="15">
      <c r="B24" s="18" t="str">
        <f t="shared" si="0"/>
        <v>Directivo 19</v>
      </c>
      <c r="C24" s="19" t="s">
        <v>4</v>
      </c>
      <c r="D24" s="20">
        <v>19</v>
      </c>
      <c r="E24" s="21">
        <v>5842185</v>
      </c>
      <c r="F24" s="17"/>
    </row>
    <row r="25" spans="2:6" ht="15">
      <c r="B25" s="18" t="str">
        <f t="shared" si="0"/>
        <v>Directivo 20</v>
      </c>
      <c r="C25" s="19" t="s">
        <v>4</v>
      </c>
      <c r="D25" s="20">
        <v>20</v>
      </c>
      <c r="E25" s="21">
        <v>5922203</v>
      </c>
      <c r="F25" s="17"/>
    </row>
    <row r="26" spans="2:6" ht="15">
      <c r="B26" s="18" t="str">
        <f t="shared" si="0"/>
        <v>Directivo 21</v>
      </c>
      <c r="C26" s="19" t="s">
        <v>4</v>
      </c>
      <c r="D26" s="20">
        <v>21</v>
      </c>
      <c r="E26" s="21">
        <v>6553250</v>
      </c>
      <c r="F26" s="17"/>
    </row>
    <row r="27" spans="2:6" ht="15">
      <c r="B27" s="18" t="str">
        <f t="shared" si="0"/>
        <v>Directivo 22</v>
      </c>
      <c r="C27" s="19" t="s">
        <v>4</v>
      </c>
      <c r="D27" s="20">
        <v>22</v>
      </c>
      <c r="E27" s="21">
        <v>7197704</v>
      </c>
      <c r="F27" s="17"/>
    </row>
    <row r="28" spans="2:6" ht="15">
      <c r="B28" s="18" t="str">
        <f t="shared" si="0"/>
        <v>Directivo 23</v>
      </c>
      <c r="C28" s="19" t="s">
        <v>4</v>
      </c>
      <c r="D28" s="20">
        <v>23</v>
      </c>
      <c r="E28" s="21">
        <v>7766751</v>
      </c>
      <c r="F28" s="17"/>
    </row>
    <row r="29" spans="2:6" ht="15">
      <c r="B29" s="18" t="str">
        <f t="shared" si="0"/>
        <v>Directivo 24</v>
      </c>
      <c r="C29" s="19" t="s">
        <v>4</v>
      </c>
      <c r="D29" s="20">
        <v>24</v>
      </c>
      <c r="E29" s="21">
        <v>8374274</v>
      </c>
      <c r="F29" s="17"/>
    </row>
    <row r="30" spans="2:6" ht="15">
      <c r="B30" s="18" t="str">
        <f t="shared" si="0"/>
        <v>Directivo 25</v>
      </c>
      <c r="C30" s="19" t="s">
        <v>4</v>
      </c>
      <c r="D30" s="20">
        <v>25</v>
      </c>
      <c r="E30" s="21">
        <v>8809736</v>
      </c>
      <c r="F30" s="17"/>
    </row>
    <row r="31" spans="2:6" ht="15">
      <c r="B31" s="18" t="str">
        <f t="shared" si="0"/>
        <v>Directivo 26</v>
      </c>
      <c r="C31" s="19" t="s">
        <v>4</v>
      </c>
      <c r="D31" s="20">
        <v>26</v>
      </c>
      <c r="E31" s="21">
        <v>9246513</v>
      </c>
      <c r="F31" s="17"/>
    </row>
    <row r="32" spans="2:6" ht="15">
      <c r="B32" s="18" t="str">
        <f t="shared" si="0"/>
        <v>Directivo 27</v>
      </c>
      <c r="C32" s="19" t="s">
        <v>4</v>
      </c>
      <c r="D32" s="20">
        <v>27</v>
      </c>
      <c r="E32" s="21">
        <v>9761707</v>
      </c>
      <c r="F32" s="17"/>
    </row>
    <row r="33" spans="2:6" ht="15">
      <c r="B33" s="18" t="str">
        <f t="shared" si="0"/>
        <v>Asesor 1</v>
      </c>
      <c r="C33" s="19" t="s">
        <v>1353</v>
      </c>
      <c r="D33" s="20">
        <v>1</v>
      </c>
      <c r="E33" s="21">
        <v>2179619</v>
      </c>
      <c r="F33" s="17"/>
    </row>
    <row r="34" spans="2:6" ht="15">
      <c r="B34" s="18" t="str">
        <f t="shared" si="0"/>
        <v>Asesor 2</v>
      </c>
      <c r="C34" s="19" t="s">
        <v>1353</v>
      </c>
      <c r="D34" s="20">
        <v>2</v>
      </c>
      <c r="E34" s="21">
        <v>2357013</v>
      </c>
      <c r="F34" s="17"/>
    </row>
    <row r="35" spans="2:6" ht="15">
      <c r="B35" s="18" t="str">
        <f t="shared" si="0"/>
        <v>Asesor 3</v>
      </c>
      <c r="C35" s="19" t="s">
        <v>1353</v>
      </c>
      <c r="D35" s="20">
        <v>3</v>
      </c>
      <c r="E35" s="21">
        <v>2572258</v>
      </c>
      <c r="F35" s="17"/>
    </row>
    <row r="36" spans="2:6" ht="15">
      <c r="B36" s="18" t="str">
        <f t="shared" si="0"/>
        <v>Asesor 4</v>
      </c>
      <c r="C36" s="19" t="s">
        <v>1353</v>
      </c>
      <c r="D36" s="20">
        <v>4</v>
      </c>
      <c r="E36" s="21">
        <v>2927532</v>
      </c>
      <c r="F36" s="17"/>
    </row>
    <row r="37" spans="2:6" ht="15">
      <c r="B37" s="18" t="str">
        <f t="shared" si="0"/>
        <v>Asesor 5</v>
      </c>
      <c r="C37" s="19" t="s">
        <v>1353</v>
      </c>
      <c r="D37" s="20">
        <v>5</v>
      </c>
      <c r="E37" s="21">
        <v>3002689</v>
      </c>
      <c r="F37" s="17"/>
    </row>
    <row r="38" spans="2:6" ht="15">
      <c r="B38" s="18" t="str">
        <f t="shared" si="0"/>
        <v>Asesor 6</v>
      </c>
      <c r="C38" s="19" t="s">
        <v>1353</v>
      </c>
      <c r="D38" s="20">
        <v>6</v>
      </c>
      <c r="E38" s="21">
        <v>3399927</v>
      </c>
      <c r="F38" s="17"/>
    </row>
    <row r="39" spans="2:6" ht="15">
      <c r="B39" s="18" t="str">
        <f t="shared" si="0"/>
        <v>Asesor 7</v>
      </c>
      <c r="C39" s="19" t="s">
        <v>1353</v>
      </c>
      <c r="D39" s="20">
        <v>7</v>
      </c>
      <c r="E39" s="21">
        <v>3795848</v>
      </c>
      <c r="F39" s="17"/>
    </row>
    <row r="40" spans="2:6" ht="15">
      <c r="B40" s="18" t="str">
        <f t="shared" si="0"/>
        <v>Asesor 8</v>
      </c>
      <c r="C40" s="19" t="s">
        <v>1353</v>
      </c>
      <c r="D40" s="20">
        <v>8</v>
      </c>
      <c r="E40" s="21">
        <v>4154020</v>
      </c>
      <c r="F40" s="17"/>
    </row>
    <row r="41" spans="2:6" ht="15">
      <c r="B41" s="18" t="str">
        <f t="shared" si="0"/>
        <v>Asesor 9</v>
      </c>
      <c r="C41" s="19" t="s">
        <v>1353</v>
      </c>
      <c r="D41" s="20">
        <v>9</v>
      </c>
      <c r="E41" s="21">
        <v>4365588</v>
      </c>
      <c r="F41" s="17"/>
    </row>
    <row r="42" spans="2:6" ht="15">
      <c r="B42" s="18" t="str">
        <f t="shared" si="0"/>
        <v>Asesor 10</v>
      </c>
      <c r="C42" s="19" t="s">
        <v>1353</v>
      </c>
      <c r="D42" s="20">
        <v>10</v>
      </c>
      <c r="E42" s="21">
        <v>4539658</v>
      </c>
      <c r="F42" s="17"/>
    </row>
    <row r="43" spans="2:6" ht="15">
      <c r="B43" s="18" t="str">
        <f t="shared" si="0"/>
        <v>Asesor 11</v>
      </c>
      <c r="C43" s="19" t="s">
        <v>1353</v>
      </c>
      <c r="D43" s="20">
        <v>11</v>
      </c>
      <c r="E43" s="21">
        <v>4773304</v>
      </c>
      <c r="F43" s="17"/>
    </row>
    <row r="44" spans="2:6" ht="15">
      <c r="B44" s="18" t="str">
        <f t="shared" si="0"/>
        <v>Asesor 12</v>
      </c>
      <c r="C44" s="19" t="s">
        <v>1353</v>
      </c>
      <c r="D44" s="20">
        <v>12</v>
      </c>
      <c r="E44" s="21">
        <v>5013419</v>
      </c>
      <c r="F44" s="17"/>
    </row>
    <row r="45" spans="2:6" ht="15">
      <c r="B45" s="18" t="str">
        <f t="shared" si="0"/>
        <v>Asesor 13</v>
      </c>
      <c r="C45" s="19" t="s">
        <v>1353</v>
      </c>
      <c r="D45" s="20">
        <v>13</v>
      </c>
      <c r="E45" s="21">
        <v>5496701</v>
      </c>
      <c r="F45" s="17"/>
    </row>
    <row r="46" spans="2:6" ht="15">
      <c r="B46" s="18" t="str">
        <f t="shared" si="0"/>
        <v>Asesor 14</v>
      </c>
      <c r="C46" s="19" t="s">
        <v>1353</v>
      </c>
      <c r="D46" s="20">
        <v>14</v>
      </c>
      <c r="E46" s="21">
        <v>5802065</v>
      </c>
      <c r="F46" s="17"/>
    </row>
    <row r="47" spans="2:6" ht="15">
      <c r="B47" s="18" t="str">
        <f t="shared" si="0"/>
        <v>Asesor 15</v>
      </c>
      <c r="C47" s="19" t="s">
        <v>1353</v>
      </c>
      <c r="D47" s="20">
        <v>15</v>
      </c>
      <c r="E47" s="21">
        <v>5921433</v>
      </c>
      <c r="F47" s="17"/>
    </row>
    <row r="48" spans="2:6" ht="15">
      <c r="B48" s="18" t="str">
        <f t="shared" si="0"/>
        <v>Asesor 16</v>
      </c>
      <c r="C48" s="19" t="s">
        <v>1353</v>
      </c>
      <c r="D48" s="20">
        <v>16</v>
      </c>
      <c r="E48" s="21">
        <v>6506604</v>
      </c>
      <c r="F48" s="17"/>
    </row>
    <row r="49" spans="2:6" ht="15">
      <c r="B49" s="18" t="str">
        <f t="shared" si="0"/>
        <v>Asesor 17</v>
      </c>
      <c r="C49" s="19" t="s">
        <v>1353</v>
      </c>
      <c r="D49" s="20">
        <v>17</v>
      </c>
      <c r="E49" s="21">
        <v>7188672</v>
      </c>
      <c r="F49" s="17"/>
    </row>
    <row r="50" spans="2:6" ht="15">
      <c r="B50" s="18" t="str">
        <f t="shared" si="0"/>
        <v>Asesor 18</v>
      </c>
      <c r="C50" s="19" t="s">
        <v>1353</v>
      </c>
      <c r="D50" s="20">
        <v>18</v>
      </c>
      <c r="E50" s="21">
        <v>7802839</v>
      </c>
      <c r="F50" s="17"/>
    </row>
    <row r="51" spans="2:6" ht="15">
      <c r="B51" s="18" t="str">
        <f t="shared" si="0"/>
        <v>Profesional  1</v>
      </c>
      <c r="C51" s="19" t="s">
        <v>1354</v>
      </c>
      <c r="D51" s="20">
        <v>1</v>
      </c>
      <c r="E51" s="21">
        <v>1315939</v>
      </c>
      <c r="F51" s="17"/>
    </row>
    <row r="52" spans="2:6" ht="15">
      <c r="B52" s="18" t="str">
        <f t="shared" si="0"/>
        <v>Profesional  2</v>
      </c>
      <c r="C52" s="19" t="s">
        <v>1354</v>
      </c>
      <c r="D52" s="20">
        <v>2</v>
      </c>
      <c r="E52" s="21">
        <v>1454601</v>
      </c>
      <c r="F52" s="17"/>
    </row>
    <row r="53" spans="2:6" ht="15">
      <c r="B53" s="18" t="str">
        <f t="shared" si="0"/>
        <v>Profesional  3</v>
      </c>
      <c r="C53" s="19" t="s">
        <v>1354</v>
      </c>
      <c r="D53" s="20">
        <v>3</v>
      </c>
      <c r="E53" s="21">
        <v>1520238</v>
      </c>
      <c r="F53" s="17"/>
    </row>
    <row r="54" spans="2:6" ht="15">
      <c r="B54" s="18" t="str">
        <f t="shared" si="0"/>
        <v>Profesional  4</v>
      </c>
      <c r="C54" s="19" t="s">
        <v>1354</v>
      </c>
      <c r="D54" s="20">
        <v>4</v>
      </c>
      <c r="E54" s="21">
        <v>1600782</v>
      </c>
      <c r="F54" s="17"/>
    </row>
    <row r="55" spans="2:6" ht="15">
      <c r="B55" s="18" t="str">
        <f t="shared" si="0"/>
        <v>Profesional  5</v>
      </c>
      <c r="C55" s="19" t="s">
        <v>1354</v>
      </c>
      <c r="D55" s="20">
        <v>5</v>
      </c>
      <c r="E55" s="21">
        <v>1693321</v>
      </c>
      <c r="F55" s="17"/>
    </row>
    <row r="56" spans="2:6" ht="15">
      <c r="B56" s="18" t="str">
        <f t="shared" si="0"/>
        <v>Profesional  6</v>
      </c>
      <c r="C56" s="19" t="s">
        <v>1354</v>
      </c>
      <c r="D56" s="20">
        <v>6</v>
      </c>
      <c r="E56" s="21">
        <v>1752286</v>
      </c>
      <c r="F56" s="17"/>
    </row>
    <row r="57" spans="2:6" ht="15">
      <c r="B57" s="18" t="str">
        <f t="shared" si="0"/>
        <v>Profesional  7</v>
      </c>
      <c r="C57" s="19" t="s">
        <v>1354</v>
      </c>
      <c r="D57" s="20">
        <v>7</v>
      </c>
      <c r="E57" s="21">
        <v>1839033</v>
      </c>
      <c r="F57" s="17"/>
    </row>
    <row r="58" spans="2:6" ht="15">
      <c r="B58" s="18" t="str">
        <f t="shared" si="0"/>
        <v>Profesional  8</v>
      </c>
      <c r="C58" s="19" t="s">
        <v>1354</v>
      </c>
      <c r="D58" s="20">
        <v>8</v>
      </c>
      <c r="E58" s="21">
        <v>1930469</v>
      </c>
      <c r="F58" s="17"/>
    </row>
    <row r="59" spans="2:6" ht="15">
      <c r="B59" s="18" t="str">
        <f t="shared" si="0"/>
        <v>Profesional  9</v>
      </c>
      <c r="C59" s="19" t="s">
        <v>1354</v>
      </c>
      <c r="D59" s="20">
        <v>9</v>
      </c>
      <c r="E59" s="21">
        <v>2013569</v>
      </c>
      <c r="F59" s="17"/>
    </row>
    <row r="60" spans="2:6" ht="15">
      <c r="B60" s="18" t="str">
        <f t="shared" si="0"/>
        <v>Profesional  10</v>
      </c>
      <c r="C60" s="19" t="s">
        <v>1354</v>
      </c>
      <c r="D60" s="20">
        <v>10</v>
      </c>
      <c r="E60" s="21">
        <v>2082275</v>
      </c>
      <c r="F60" s="17"/>
    </row>
    <row r="61" spans="2:6" ht="15">
      <c r="B61" s="22" t="str">
        <f t="shared" si="0"/>
        <v>Profesional  11</v>
      </c>
      <c r="C61" s="19" t="s">
        <v>1354</v>
      </c>
      <c r="D61" s="20">
        <v>11</v>
      </c>
      <c r="E61" s="21">
        <v>2169943</v>
      </c>
      <c r="F61" s="17"/>
    </row>
    <row r="62" spans="2:6" ht="15">
      <c r="B62" s="18" t="str">
        <f t="shared" si="0"/>
        <v>Profesional  12</v>
      </c>
      <c r="C62" s="19" t="s">
        <v>1354</v>
      </c>
      <c r="D62" s="20">
        <v>12</v>
      </c>
      <c r="E62" s="21">
        <v>2302196</v>
      </c>
      <c r="F62" s="17"/>
    </row>
    <row r="63" spans="2:6" ht="15">
      <c r="B63" s="22" t="str">
        <f t="shared" si="0"/>
        <v>Profesional  13</v>
      </c>
      <c r="C63" s="19" t="s">
        <v>1354</v>
      </c>
      <c r="D63" s="20">
        <v>13</v>
      </c>
      <c r="E63" s="21">
        <v>2494331</v>
      </c>
      <c r="F63" s="17"/>
    </row>
    <row r="64" spans="2:6" ht="15">
      <c r="B64" s="18" t="str">
        <f t="shared" si="0"/>
        <v>Profesional  14</v>
      </c>
      <c r="C64" s="19" t="s">
        <v>1354</v>
      </c>
      <c r="D64" s="20">
        <v>14</v>
      </c>
      <c r="E64" s="21">
        <v>2669283</v>
      </c>
      <c r="F64" s="17"/>
    </row>
    <row r="65" spans="2:6" ht="15">
      <c r="B65" s="18" t="str">
        <f t="shared" si="0"/>
        <v>Profesional  15</v>
      </c>
      <c r="C65" s="19" t="s">
        <v>1354</v>
      </c>
      <c r="D65" s="20">
        <v>15</v>
      </c>
      <c r="E65" s="21">
        <v>2951171</v>
      </c>
      <c r="F65" s="17"/>
    </row>
    <row r="66" spans="2:6" ht="15">
      <c r="B66" s="18" t="str">
        <f t="shared" si="0"/>
        <v>Profesional  16</v>
      </c>
      <c r="C66" s="19" t="s">
        <v>1354</v>
      </c>
      <c r="D66" s="20">
        <v>16</v>
      </c>
      <c r="E66" s="21">
        <v>3181780</v>
      </c>
      <c r="F66" s="17"/>
    </row>
    <row r="67" spans="2:6" ht="15">
      <c r="B67" s="18" t="str">
        <f t="shared" si="0"/>
        <v>Profesional  17</v>
      </c>
      <c r="C67" s="19" t="s">
        <v>1354</v>
      </c>
      <c r="D67" s="20">
        <v>17</v>
      </c>
      <c r="E67" s="21">
        <v>3346665</v>
      </c>
      <c r="F67" s="17"/>
    </row>
    <row r="68" spans="2:6" ht="15">
      <c r="B68" s="18" t="str">
        <f t="shared" si="0"/>
        <v>Profesional  18</v>
      </c>
      <c r="C68" s="19" t="s">
        <v>1354</v>
      </c>
      <c r="D68" s="20">
        <v>18</v>
      </c>
      <c r="E68" s="21">
        <v>3604191</v>
      </c>
      <c r="F68" s="17"/>
    </row>
    <row r="69" spans="2:6" ht="15">
      <c r="B69" s="18" t="str">
        <f t="shared" si="0"/>
        <v>Profesional  19</v>
      </c>
      <c r="C69" s="19" t="s">
        <v>1354</v>
      </c>
      <c r="D69" s="20">
        <v>19</v>
      </c>
      <c r="E69" s="21">
        <v>3876862</v>
      </c>
      <c r="F69" s="17"/>
    </row>
    <row r="70" spans="2:6" ht="15">
      <c r="B70" s="18" t="str">
        <f t="shared" ref="B70:B116" si="1">+CONCATENATE(C70," ",D70)</f>
        <v>Profesional  20</v>
      </c>
      <c r="C70" s="19" t="s">
        <v>1354</v>
      </c>
      <c r="D70" s="20">
        <v>20</v>
      </c>
      <c r="E70" s="21">
        <v>4173350</v>
      </c>
      <c r="F70" s="17"/>
    </row>
    <row r="71" spans="2:6" ht="15">
      <c r="B71" s="18" t="str">
        <f t="shared" si="1"/>
        <v>Profesional  21</v>
      </c>
      <c r="C71" s="19" t="s">
        <v>1354</v>
      </c>
      <c r="D71" s="20">
        <v>21</v>
      </c>
      <c r="E71" s="21">
        <v>4448103</v>
      </c>
      <c r="F71" s="17"/>
    </row>
    <row r="72" spans="2:6" ht="15">
      <c r="B72" s="18" t="str">
        <f t="shared" si="1"/>
        <v>Profesional  22</v>
      </c>
      <c r="C72" s="19" t="s">
        <v>1354</v>
      </c>
      <c r="D72" s="20">
        <v>22</v>
      </c>
      <c r="E72" s="21">
        <v>4784075</v>
      </c>
      <c r="F72" s="17"/>
    </row>
    <row r="73" spans="2:6" ht="15">
      <c r="B73" s="18" t="str">
        <f t="shared" si="1"/>
        <v>Profesional  23</v>
      </c>
      <c r="C73" s="19" t="s">
        <v>1354</v>
      </c>
      <c r="D73" s="20">
        <v>23</v>
      </c>
      <c r="E73" s="21">
        <v>5054940</v>
      </c>
      <c r="F73" s="17"/>
    </row>
    <row r="74" spans="2:6" ht="15">
      <c r="B74" s="18" t="str">
        <f t="shared" si="1"/>
        <v>Profesional  24</v>
      </c>
      <c r="C74" s="19" t="s">
        <v>1354</v>
      </c>
      <c r="D74" s="20">
        <v>24</v>
      </c>
      <c r="E74" s="21">
        <v>5450909</v>
      </c>
      <c r="F74" s="17"/>
    </row>
    <row r="75" spans="2:6" ht="15">
      <c r="B75" s="18" t="str">
        <f t="shared" si="1"/>
        <v>Técnico 1</v>
      </c>
      <c r="C75" s="19" t="s">
        <v>1355</v>
      </c>
      <c r="D75" s="20">
        <v>1</v>
      </c>
      <c r="E75" s="21">
        <f>566700*1.07</f>
        <v>606369</v>
      </c>
      <c r="F75" s="17"/>
    </row>
    <row r="76" spans="2:6" ht="15">
      <c r="B76" s="18" t="str">
        <f t="shared" si="1"/>
        <v>Técnico 2</v>
      </c>
      <c r="C76" s="19" t="s">
        <v>1355</v>
      </c>
      <c r="D76" s="20">
        <v>2</v>
      </c>
      <c r="E76" s="21">
        <v>613926</v>
      </c>
      <c r="F76" s="17"/>
    </row>
    <row r="77" spans="2:6" ht="15">
      <c r="B77" s="18" t="str">
        <f t="shared" si="1"/>
        <v>Técnico 3</v>
      </c>
      <c r="C77" s="19" t="s">
        <v>1355</v>
      </c>
      <c r="D77" s="20">
        <v>3</v>
      </c>
      <c r="E77" s="21">
        <v>689588</v>
      </c>
    </row>
    <row r="78" spans="2:6" ht="15">
      <c r="B78" s="18" t="str">
        <f t="shared" si="1"/>
        <v>Técnico 4</v>
      </c>
      <c r="C78" s="19" t="s">
        <v>1355</v>
      </c>
      <c r="D78" s="20">
        <v>4</v>
      </c>
      <c r="E78" s="21">
        <v>730670</v>
      </c>
    </row>
    <row r="79" spans="2:6" ht="15">
      <c r="B79" s="18" t="str">
        <f t="shared" si="1"/>
        <v>Técnico 5</v>
      </c>
      <c r="C79" s="19" t="s">
        <v>1355</v>
      </c>
      <c r="D79" s="20">
        <v>5</v>
      </c>
      <c r="E79" s="21">
        <v>777282</v>
      </c>
    </row>
    <row r="80" spans="2:6" ht="15">
      <c r="B80" s="18" t="str">
        <f t="shared" si="1"/>
        <v>Técnico 6</v>
      </c>
      <c r="C80" s="19" t="s">
        <v>1355</v>
      </c>
      <c r="D80" s="20">
        <v>6</v>
      </c>
      <c r="E80" s="21">
        <v>935516</v>
      </c>
    </row>
    <row r="81" spans="2:5" ht="15">
      <c r="B81" s="18" t="str">
        <f t="shared" si="1"/>
        <v>Técnico 7</v>
      </c>
      <c r="C81" s="19" t="s">
        <v>1355</v>
      </c>
      <c r="D81" s="20">
        <v>7</v>
      </c>
      <c r="E81" s="21">
        <v>996878</v>
      </c>
    </row>
    <row r="82" spans="2:5" ht="15">
      <c r="B82" s="18" t="str">
        <f t="shared" si="1"/>
        <v>Técnico 8</v>
      </c>
      <c r="C82" s="19" t="s">
        <v>1355</v>
      </c>
      <c r="D82" s="20">
        <v>8</v>
      </c>
      <c r="E82" s="21">
        <v>1022146</v>
      </c>
    </row>
    <row r="83" spans="2:5" ht="15">
      <c r="B83" s="18" t="str">
        <f t="shared" si="1"/>
        <v>Técnico 9</v>
      </c>
      <c r="C83" s="19" t="s">
        <v>1355</v>
      </c>
      <c r="D83" s="20">
        <v>9</v>
      </c>
      <c r="E83" s="21">
        <v>1124891</v>
      </c>
    </row>
    <row r="84" spans="2:5" ht="15">
      <c r="B84" s="18" t="str">
        <f t="shared" si="1"/>
        <v>Técnico 10</v>
      </c>
      <c r="C84" s="19" t="s">
        <v>1355</v>
      </c>
      <c r="D84" s="20">
        <v>10</v>
      </c>
      <c r="E84" s="21">
        <v>1177140</v>
      </c>
    </row>
    <row r="85" spans="2:5" ht="15">
      <c r="B85" s="18" t="str">
        <f t="shared" si="1"/>
        <v>Técnico 11</v>
      </c>
      <c r="C85" s="19" t="s">
        <v>1355</v>
      </c>
      <c r="D85" s="20">
        <v>11</v>
      </c>
      <c r="E85" s="21">
        <v>1240971</v>
      </c>
    </row>
    <row r="86" spans="2:5" ht="15">
      <c r="B86" s="18" t="str">
        <f t="shared" si="1"/>
        <v>Técnico 12</v>
      </c>
      <c r="C86" s="19" t="s">
        <v>1355</v>
      </c>
      <c r="D86" s="20">
        <v>12</v>
      </c>
      <c r="E86" s="21">
        <v>1315939</v>
      </c>
    </row>
    <row r="87" spans="2:5" ht="15">
      <c r="B87" s="18" t="str">
        <f t="shared" si="1"/>
        <v>Técnico 13</v>
      </c>
      <c r="C87" s="19" t="s">
        <v>1355</v>
      </c>
      <c r="D87" s="20">
        <v>13</v>
      </c>
      <c r="E87" s="21">
        <v>1403343</v>
      </c>
    </row>
    <row r="88" spans="2:5" ht="15">
      <c r="B88" s="18" t="str">
        <f t="shared" si="1"/>
        <v>Técnico 14</v>
      </c>
      <c r="C88" s="19" t="s">
        <v>1355</v>
      </c>
      <c r="D88" s="20">
        <v>14</v>
      </c>
      <c r="E88" s="21">
        <v>1454601</v>
      </c>
    </row>
    <row r="89" spans="2:5" ht="15">
      <c r="B89" s="18" t="str">
        <f t="shared" si="1"/>
        <v>Técnico 15</v>
      </c>
      <c r="C89" s="19" t="s">
        <v>1355</v>
      </c>
      <c r="D89" s="20">
        <v>15</v>
      </c>
      <c r="E89" s="21">
        <v>1520238</v>
      </c>
    </row>
    <row r="90" spans="2:5" ht="15">
      <c r="B90" s="18" t="str">
        <f t="shared" si="1"/>
        <v>Técnico 16</v>
      </c>
      <c r="C90" s="19" t="s">
        <v>1355</v>
      </c>
      <c r="D90" s="20">
        <v>16</v>
      </c>
      <c r="E90" s="21">
        <v>1717662</v>
      </c>
    </row>
    <row r="91" spans="2:5" ht="15">
      <c r="B91" s="18" t="str">
        <f t="shared" si="1"/>
        <v>Técnico 17</v>
      </c>
      <c r="C91" s="19" t="s">
        <v>1355</v>
      </c>
      <c r="D91" s="20">
        <v>17</v>
      </c>
      <c r="E91" s="21">
        <v>1838799</v>
      </c>
    </row>
    <row r="92" spans="2:5" ht="15">
      <c r="B92" s="18" t="str">
        <f t="shared" si="1"/>
        <v>Técnico 18</v>
      </c>
      <c r="C92" s="19" t="s">
        <v>1355</v>
      </c>
      <c r="D92" s="20">
        <v>18</v>
      </c>
      <c r="E92" s="21">
        <v>2020686</v>
      </c>
    </row>
    <row r="93" spans="2:5" ht="15">
      <c r="B93" s="18" t="str">
        <f t="shared" si="1"/>
        <v>Asistencial  1</v>
      </c>
      <c r="C93" s="19" t="s">
        <v>1356</v>
      </c>
      <c r="D93" s="20">
        <v>1</v>
      </c>
      <c r="E93" s="21">
        <v>566700</v>
      </c>
    </row>
    <row r="94" spans="2:5" ht="15">
      <c r="B94" s="18" t="str">
        <f t="shared" si="1"/>
        <v>Asistencial  2</v>
      </c>
      <c r="C94" s="19" t="s">
        <v>1356</v>
      </c>
      <c r="D94" s="20">
        <v>2</v>
      </c>
      <c r="E94" s="21">
        <v>566711</v>
      </c>
    </row>
    <row r="95" spans="2:5" ht="15">
      <c r="B95" s="18" t="str">
        <f t="shared" si="1"/>
        <v>Asistencial  3</v>
      </c>
      <c r="C95" s="19" t="s">
        <v>1356</v>
      </c>
      <c r="D95" s="20">
        <v>3</v>
      </c>
      <c r="E95" s="21">
        <v>566746</v>
      </c>
    </row>
    <row r="96" spans="2:5" ht="15">
      <c r="B96" s="18" t="str">
        <f t="shared" si="1"/>
        <v>Asistencial  4</v>
      </c>
      <c r="C96" s="19" t="s">
        <v>1356</v>
      </c>
      <c r="D96" s="20">
        <v>4</v>
      </c>
      <c r="E96" s="21">
        <v>568629</v>
      </c>
    </row>
    <row r="97" spans="2:5" ht="15">
      <c r="B97" s="18" t="str">
        <f t="shared" si="1"/>
        <v>Asistencial  5</v>
      </c>
      <c r="C97" s="19" t="s">
        <v>1356</v>
      </c>
      <c r="D97" s="20">
        <v>5</v>
      </c>
      <c r="E97" s="21">
        <v>576077</v>
      </c>
    </row>
    <row r="98" spans="2:5" ht="15">
      <c r="B98" s="18" t="str">
        <f t="shared" si="1"/>
        <v>Asistencial  6</v>
      </c>
      <c r="C98" s="19" t="s">
        <v>1356</v>
      </c>
      <c r="D98" s="20">
        <v>6</v>
      </c>
      <c r="E98" s="21">
        <v>630060</v>
      </c>
    </row>
    <row r="99" spans="2:5" ht="15">
      <c r="B99" s="18" t="str">
        <f t="shared" si="1"/>
        <v>Asistencial  7</v>
      </c>
      <c r="C99" s="19" t="s">
        <v>1356</v>
      </c>
      <c r="D99" s="20">
        <v>7</v>
      </c>
      <c r="E99" s="21">
        <v>689588</v>
      </c>
    </row>
    <row r="100" spans="2:5" ht="15">
      <c r="B100" s="18" t="str">
        <f t="shared" si="1"/>
        <v>Asistencial  8</v>
      </c>
      <c r="C100" s="19" t="s">
        <v>1356</v>
      </c>
      <c r="D100" s="20">
        <v>8</v>
      </c>
      <c r="E100" s="21">
        <v>730670</v>
      </c>
    </row>
    <row r="101" spans="2:5" ht="15">
      <c r="B101" s="18" t="str">
        <f t="shared" si="1"/>
        <v>Asistencial  9</v>
      </c>
      <c r="C101" s="19" t="s">
        <v>1356</v>
      </c>
      <c r="D101" s="20">
        <v>9</v>
      </c>
      <c r="E101" s="21">
        <v>777282</v>
      </c>
    </row>
    <row r="102" spans="2:5" ht="15">
      <c r="B102" s="18" t="str">
        <f t="shared" si="1"/>
        <v>Asistencial  10</v>
      </c>
      <c r="C102" s="19" t="s">
        <v>1356</v>
      </c>
      <c r="D102" s="20">
        <v>10</v>
      </c>
      <c r="E102" s="21">
        <v>854322</v>
      </c>
    </row>
    <row r="103" spans="2:5" ht="15">
      <c r="B103" s="18" t="str">
        <f t="shared" si="1"/>
        <v>Asistencial  11</v>
      </c>
      <c r="C103" s="19" t="s">
        <v>1356</v>
      </c>
      <c r="D103" s="20">
        <v>11</v>
      </c>
      <c r="E103" s="21">
        <v>922142</v>
      </c>
    </row>
    <row r="104" spans="2:5" ht="15">
      <c r="B104" s="18" t="str">
        <f t="shared" si="1"/>
        <v>Asistencial  12</v>
      </c>
      <c r="C104" s="19" t="s">
        <v>1356</v>
      </c>
      <c r="D104" s="20">
        <v>12</v>
      </c>
      <c r="E104" s="21">
        <v>990139</v>
      </c>
    </row>
    <row r="105" spans="2:5" ht="15">
      <c r="B105" s="18" t="str">
        <f t="shared" si="1"/>
        <v>Asistencial  13</v>
      </c>
      <c r="C105" s="19" t="s">
        <v>1356</v>
      </c>
      <c r="D105" s="20">
        <v>13</v>
      </c>
      <c r="E105" s="21">
        <v>1022146</v>
      </c>
    </row>
    <row r="106" spans="2:5" ht="15">
      <c r="B106" s="18" t="str">
        <f t="shared" si="1"/>
        <v>Asistencial  14</v>
      </c>
      <c r="C106" s="19" t="s">
        <v>1356</v>
      </c>
      <c r="D106" s="20">
        <v>14</v>
      </c>
      <c r="E106" s="21">
        <v>1044537</v>
      </c>
    </row>
    <row r="107" spans="2:5" ht="15">
      <c r="B107" s="18" t="str">
        <f t="shared" si="1"/>
        <v>Asistencial  15</v>
      </c>
      <c r="C107" s="19" t="s">
        <v>1356</v>
      </c>
      <c r="D107" s="20">
        <v>15</v>
      </c>
      <c r="E107" s="21">
        <v>1077005</v>
      </c>
    </row>
    <row r="108" spans="2:5" ht="15">
      <c r="B108" s="18" t="str">
        <f t="shared" si="1"/>
        <v>Asistencial  16</v>
      </c>
      <c r="C108" s="19" t="s">
        <v>1356</v>
      </c>
      <c r="D108" s="20">
        <v>16</v>
      </c>
      <c r="E108" s="21">
        <v>1124891</v>
      </c>
    </row>
    <row r="109" spans="2:5" ht="15">
      <c r="B109" s="18" t="str">
        <f t="shared" si="1"/>
        <v>Asistencial  17</v>
      </c>
      <c r="C109" s="19" t="s">
        <v>1356</v>
      </c>
      <c r="D109" s="20">
        <v>17</v>
      </c>
      <c r="E109" s="21">
        <v>1148647</v>
      </c>
    </row>
    <row r="110" spans="2:5" ht="15">
      <c r="B110" s="18" t="str">
        <f t="shared" si="1"/>
        <v>Asistencial  18</v>
      </c>
      <c r="C110" s="19" t="s">
        <v>1356</v>
      </c>
      <c r="D110" s="20">
        <v>18</v>
      </c>
      <c r="E110" s="21">
        <v>1177140</v>
      </c>
    </row>
    <row r="111" spans="2:5" ht="15">
      <c r="B111" s="18" t="str">
        <f t="shared" si="1"/>
        <v>Asistencial  19</v>
      </c>
      <c r="C111" s="19" t="s">
        <v>1356</v>
      </c>
      <c r="D111" s="20">
        <v>19</v>
      </c>
      <c r="E111" s="21">
        <v>1207504</v>
      </c>
    </row>
    <row r="112" spans="2:5" ht="15">
      <c r="B112" s="18" t="str">
        <f t="shared" si="1"/>
        <v>Asistencial  20</v>
      </c>
      <c r="C112" s="19" t="s">
        <v>1356</v>
      </c>
      <c r="D112" s="20">
        <v>20</v>
      </c>
      <c r="E112" s="21">
        <v>1245020</v>
      </c>
    </row>
    <row r="113" spans="2:5" ht="15">
      <c r="B113" s="18" t="str">
        <f t="shared" si="1"/>
        <v>Asistencial  21</v>
      </c>
      <c r="C113" s="19" t="s">
        <v>1356</v>
      </c>
      <c r="D113" s="20">
        <v>21</v>
      </c>
      <c r="E113" s="21">
        <v>1297418</v>
      </c>
    </row>
    <row r="114" spans="2:5" ht="15">
      <c r="B114" s="18" t="str">
        <f t="shared" si="1"/>
        <v>Asistencial  22</v>
      </c>
      <c r="C114" s="19" t="s">
        <v>1356</v>
      </c>
      <c r="D114" s="20">
        <v>22</v>
      </c>
      <c r="E114" s="21">
        <v>1376801</v>
      </c>
    </row>
    <row r="115" spans="2:5" ht="15">
      <c r="B115" s="18" t="str">
        <f t="shared" si="1"/>
        <v>Asistencial  23</v>
      </c>
      <c r="C115" s="19" t="s">
        <v>1356</v>
      </c>
      <c r="D115" s="20">
        <v>23</v>
      </c>
      <c r="E115" s="21">
        <v>1520238</v>
      </c>
    </row>
    <row r="116" spans="2:5" ht="15">
      <c r="B116" s="18" t="str">
        <f t="shared" si="1"/>
        <v>Asistencial  24</v>
      </c>
      <c r="C116" s="19" t="s">
        <v>1356</v>
      </c>
      <c r="D116" s="20">
        <v>24</v>
      </c>
      <c r="E116" s="21">
        <v>1658141</v>
      </c>
    </row>
    <row r="117" spans="2:5" ht="15">
      <c r="B117" s="18" t="str">
        <f>+CONCATENATE(C117," ",D117)</f>
        <v>Asistencial  25</v>
      </c>
      <c r="C117" s="19" t="s">
        <v>1356</v>
      </c>
      <c r="D117" s="20">
        <v>25</v>
      </c>
      <c r="E117" s="21">
        <v>1839033</v>
      </c>
    </row>
    <row r="118" spans="2:5" ht="15.75" thickBot="1">
      <c r="B118" s="23" t="str">
        <f>+CONCATENATE(C118," ",D118)</f>
        <v>Asistencial  26</v>
      </c>
      <c r="C118" s="24" t="s">
        <v>1356</v>
      </c>
      <c r="D118" s="25">
        <v>26</v>
      </c>
      <c r="E118" s="26">
        <v>2000635</v>
      </c>
    </row>
    <row r="119" spans="2:5" ht="15.75" thickBot="1">
      <c r="B119" s="488" t="s">
        <v>35</v>
      </c>
      <c r="C119" s="489"/>
      <c r="D119" s="490"/>
      <c r="E119" s="491">
        <f>+'Componentes T.H.'!D25</f>
        <v>589500</v>
      </c>
    </row>
    <row r="120" spans="2:5" ht="15"/>
  </sheetData>
  <sheetProtection password="CC59" sheet="1" objects="1" scenarios="1"/>
  <mergeCells count="3">
    <mergeCell ref="B1:E1"/>
    <mergeCell ref="B2:E2"/>
    <mergeCell ref="C3:E3"/>
  </mergeCells>
  <hyperlinks>
    <hyperlink ref="B4" location="'Hoja índice'!A1" display="Indice"/>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Hoja3">
    <tabColor theme="4"/>
    <outlinePr summaryRight="0"/>
    <pageSetUpPr fitToPage="1"/>
  </sheetPr>
  <dimension ref="A1:AL146"/>
  <sheetViews>
    <sheetView showGridLines="0" zoomScale="85" zoomScaleNormal="85" zoomScaleSheetLayoutView="70" workbookViewId="0">
      <selection activeCell="B1" sqref="B1"/>
    </sheetView>
  </sheetViews>
  <sheetFormatPr baseColWidth="10" defaultRowHeight="16.5" zeroHeight="1" outlineLevelCol="1"/>
  <cols>
    <col min="1" max="1" width="5.5703125" style="38" customWidth="1"/>
    <col min="2" max="2" width="45.85546875" style="38" customWidth="1"/>
    <col min="3" max="3" width="23" style="38" customWidth="1"/>
    <col min="4" max="4" width="11.42578125" style="38" bestFit="1" customWidth="1" collapsed="1"/>
    <col min="5" max="7" width="16.5703125" style="38" hidden="1" customWidth="1" outlineLevel="1"/>
    <col min="8" max="8" width="9" style="38" hidden="1" customWidth="1" outlineLevel="1"/>
    <col min="9" max="9" width="11.28515625" style="38" hidden="1" customWidth="1" outlineLevel="1"/>
    <col min="10" max="10" width="13.7109375" style="38" hidden="1" customWidth="1" outlineLevel="1"/>
    <col min="11" max="11" width="12.7109375" style="38" hidden="1" customWidth="1" outlineLevel="1"/>
    <col min="12" max="12" width="10" style="38" hidden="1" customWidth="1" outlineLevel="1"/>
    <col min="13" max="13" width="16.5703125" style="38" hidden="1" customWidth="1" outlineLevel="1"/>
    <col min="14" max="14" width="11.42578125" style="38" hidden="1" customWidth="1" outlineLevel="1"/>
    <col min="15" max="15" width="12.28515625" style="38" hidden="1" customWidth="1" outlineLevel="1"/>
    <col min="16" max="16" width="12.7109375" style="38" hidden="1" customWidth="1" outlineLevel="1"/>
    <col min="17" max="17" width="13.28515625" style="38" customWidth="1" collapsed="1"/>
    <col min="18" max="18" width="14.28515625" style="38" customWidth="1"/>
    <col min="19" max="19" width="7" style="38" customWidth="1"/>
    <col min="20" max="20" width="16" style="38" customWidth="1"/>
    <col min="21" max="21" width="12.140625" style="38" customWidth="1"/>
    <col min="22" max="22" width="14.85546875" style="38" bestFit="1" customWidth="1"/>
    <col min="23" max="16384" width="11.42578125" style="38"/>
  </cols>
  <sheetData>
    <row r="1" spans="1:38">
      <c r="A1" s="37"/>
      <c r="B1" s="4" t="s">
        <v>2343</v>
      </c>
      <c r="C1" s="418">
        <v>2</v>
      </c>
      <c r="D1" s="418">
        <v>3</v>
      </c>
      <c r="E1" s="418">
        <v>4</v>
      </c>
      <c r="F1" s="418">
        <v>5</v>
      </c>
      <c r="G1" s="418">
        <v>6</v>
      </c>
      <c r="H1" s="418">
        <v>7</v>
      </c>
      <c r="I1" s="418">
        <v>8</v>
      </c>
      <c r="J1" s="418">
        <v>9</v>
      </c>
      <c r="K1" s="418">
        <v>10</v>
      </c>
      <c r="L1" s="418">
        <v>11</v>
      </c>
      <c r="M1" s="418"/>
      <c r="N1" s="418">
        <v>12</v>
      </c>
      <c r="O1" s="418">
        <v>13</v>
      </c>
      <c r="P1" s="418">
        <v>14</v>
      </c>
      <c r="Q1" s="418">
        <v>16</v>
      </c>
      <c r="R1" s="418">
        <v>16</v>
      </c>
    </row>
    <row r="2" spans="1:38" ht="18.75" customHeight="1">
      <c r="B2" s="37" t="s">
        <v>5</v>
      </c>
      <c r="C2" s="37"/>
    </row>
    <row r="3" spans="1:38" ht="6" customHeight="1" thickBot="1">
      <c r="D3" s="38">
        <f>+'Parametros Generales'!C28</f>
        <v>1</v>
      </c>
    </row>
    <row r="4" spans="1:38" ht="66.75" thickBot="1">
      <c r="B4" s="102" t="s">
        <v>6</v>
      </c>
      <c r="C4" s="1193" t="s">
        <v>7</v>
      </c>
      <c r="D4" s="94" t="s">
        <v>8</v>
      </c>
      <c r="E4" s="95" t="s">
        <v>9</v>
      </c>
      <c r="F4" s="95" t="s">
        <v>10</v>
      </c>
      <c r="G4" s="95" t="s">
        <v>11</v>
      </c>
      <c r="H4" s="95" t="s">
        <v>12</v>
      </c>
      <c r="I4" s="95" t="s">
        <v>13</v>
      </c>
      <c r="J4" s="95" t="s">
        <v>14</v>
      </c>
      <c r="K4" s="95" t="s">
        <v>15</v>
      </c>
      <c r="L4" s="95" t="s">
        <v>16</v>
      </c>
      <c r="M4" s="498" t="s">
        <v>1345</v>
      </c>
      <c r="N4" s="96" t="s">
        <v>17</v>
      </c>
      <c r="O4" s="50" t="s">
        <v>18</v>
      </c>
      <c r="P4" s="50" t="s">
        <v>19</v>
      </c>
      <c r="Q4" s="96" t="s">
        <v>20</v>
      </c>
      <c r="R4" s="50" t="s">
        <v>21</v>
      </c>
      <c r="S4" s="50" t="s">
        <v>22</v>
      </c>
      <c r="T4" s="50" t="s">
        <v>23</v>
      </c>
      <c r="U4" s="50" t="s">
        <v>24</v>
      </c>
      <c r="V4" s="50" t="s">
        <v>25</v>
      </c>
      <c r="W4" s="847"/>
      <c r="X4" s="847"/>
      <c r="Y4" s="847"/>
      <c r="Z4" s="847"/>
      <c r="AA4" s="847"/>
      <c r="AB4" s="847"/>
      <c r="AC4" s="847"/>
      <c r="AD4" s="847"/>
      <c r="AE4" s="847"/>
      <c r="AF4" s="847"/>
      <c r="AG4" s="847"/>
      <c r="AH4" s="1181" t="s">
        <v>1212</v>
      </c>
      <c r="AI4" s="1182"/>
      <c r="AJ4" s="1183"/>
      <c r="AK4" s="847"/>
      <c r="AL4" s="847"/>
    </row>
    <row r="5" spans="1:38" ht="17.25" thickBot="1">
      <c r="B5" s="103"/>
      <c r="C5" s="1194"/>
      <c r="D5" s="97"/>
      <c r="E5" s="98"/>
      <c r="F5" s="99">
        <v>8.5000000000000006E-2</v>
      </c>
      <c r="G5" s="99">
        <v>0.12</v>
      </c>
      <c r="H5" s="99">
        <v>5.1999999999999998E-3</v>
      </c>
      <c r="I5" s="99">
        <v>8.3299999999999999E-2</v>
      </c>
      <c r="J5" s="100">
        <v>0.01</v>
      </c>
      <c r="K5" s="99">
        <v>4.1666666666666699E-2</v>
      </c>
      <c r="L5" s="500">
        <v>8.3299999999999999E-2</v>
      </c>
      <c r="M5" s="501">
        <v>0.09</v>
      </c>
      <c r="N5" s="101"/>
      <c r="O5" s="51"/>
      <c r="P5" s="51"/>
      <c r="Q5" s="101"/>
      <c r="R5" s="51"/>
      <c r="S5" s="51"/>
      <c r="T5" s="51"/>
      <c r="U5" s="51"/>
      <c r="V5" s="51"/>
      <c r="W5" s="847"/>
      <c r="X5" s="847"/>
      <c r="Y5" s="847"/>
      <c r="Z5" s="847"/>
      <c r="AA5" s="847"/>
      <c r="AB5" s="847"/>
      <c r="AC5" s="847"/>
      <c r="AD5" s="847"/>
      <c r="AE5" s="847"/>
      <c r="AF5" s="847"/>
      <c r="AG5" s="847"/>
      <c r="AH5" s="847"/>
      <c r="AI5" s="847"/>
      <c r="AJ5" s="847"/>
      <c r="AK5" s="847"/>
      <c r="AL5" s="847"/>
    </row>
    <row r="6" spans="1:38" s="39" customFormat="1" ht="17.25" thickBot="1">
      <c r="B6" s="52" t="s">
        <v>32</v>
      </c>
      <c r="C6" s="53" t="s">
        <v>1357</v>
      </c>
      <c r="D6" s="54">
        <f>((+IFERROR(VLOOKUP(C6,'Salarios de Ref'!$B$6:$E$119,4,0),0)))*'Parametros Generales'!C28</f>
        <v>1930469</v>
      </c>
      <c r="E6" s="55">
        <f>(IF(D6&gt;0,IF(D6&lt;=($D$25*2),$D$26,0),0))*'Parametros Generales'!C28</f>
        <v>0</v>
      </c>
      <c r="F6" s="55">
        <f t="shared" ref="F6:H21" si="0">($D6*F$5)</f>
        <v>164089.86500000002</v>
      </c>
      <c r="G6" s="55">
        <f t="shared" si="0"/>
        <v>231656.28</v>
      </c>
      <c r="H6" s="55">
        <f t="shared" si="0"/>
        <v>10038.4388</v>
      </c>
      <c r="I6" s="55">
        <f t="shared" ref="I6:J21" si="1">(($D6+$E6)*I$5)</f>
        <v>160808.06769999999</v>
      </c>
      <c r="J6" s="55">
        <f t="shared" si="1"/>
        <v>19304.689999999999</v>
      </c>
      <c r="K6" s="55">
        <f t="shared" ref="K6:K21" si="2">($D6*K$5)</f>
        <v>80436.208333333401</v>
      </c>
      <c r="L6" s="55">
        <f>(($D6+$E6)*L$5)</f>
        <v>160808.06769999999</v>
      </c>
      <c r="M6" s="58">
        <f t="shared" ref="M6:M21" si="3">+D6*M$5</f>
        <v>173742.21</v>
      </c>
      <c r="N6" s="56">
        <f t="shared" ref="N6:N21" si="4">SUM(D6:M6)</f>
        <v>2931352.8275333336</v>
      </c>
      <c r="O6" s="57">
        <f>+N6/D6</f>
        <v>1.5184666666666669</v>
      </c>
      <c r="P6" s="58">
        <f t="shared" ref="P6:P21" si="5">IF(D6&gt;0,IF(D6&lt;=($D$25*2),$D$27,0),0)</f>
        <v>0</v>
      </c>
      <c r="Q6" s="59">
        <f t="shared" ref="Q6:Q21" si="6">N6+P6</f>
        <v>2931352.8275333336</v>
      </c>
      <c r="R6" s="60">
        <f t="shared" ref="R6:R22" si="7">IFERROR(Q6/D6,0)</f>
        <v>1.5184666666666669</v>
      </c>
      <c r="S6" s="61">
        <f>+'Parametros Generales'!$C$6</f>
        <v>5</v>
      </c>
      <c r="T6" s="40">
        <v>1</v>
      </c>
      <c r="U6" s="41">
        <f>+'Cost x Depart'!N1275</f>
        <v>22.999999999999993</v>
      </c>
      <c r="V6" s="62">
        <f t="shared" ref="V6:V21" si="8">+T6*S6*Q6*U6</f>
        <v>337105575.16633326</v>
      </c>
      <c r="W6" s="847"/>
      <c r="X6" s="847"/>
      <c r="Y6" s="847"/>
      <c r="Z6" s="847"/>
      <c r="AA6" s="847"/>
      <c r="AB6" s="847"/>
      <c r="AC6" s="847"/>
      <c r="AD6" s="847"/>
      <c r="AE6" s="847"/>
      <c r="AF6" s="847"/>
      <c r="AG6" s="847"/>
      <c r="AH6" s="847"/>
      <c r="AI6" s="847"/>
      <c r="AJ6" s="847"/>
      <c r="AK6" s="847"/>
      <c r="AL6" s="847"/>
    </row>
    <row r="7" spans="1:38" s="39" customFormat="1">
      <c r="B7" s="52" t="s">
        <v>1351</v>
      </c>
      <c r="C7" s="53" t="s">
        <v>1358</v>
      </c>
      <c r="D7" s="54">
        <f>((+IFERROR(VLOOKUP(C7,'Salarios de Ref'!$B$6:$E$119,4,0),0)))*'Parametros Generales'!C28</f>
        <v>1454601</v>
      </c>
      <c r="E7" s="55">
        <f>(IF(D7&gt;0,IF(D7&lt;=($D$25*2),$D$26,0),0))*'Parametros Generales'!C28</f>
        <v>0</v>
      </c>
      <c r="F7" s="55">
        <f t="shared" si="0"/>
        <v>123641.08500000001</v>
      </c>
      <c r="G7" s="55">
        <f t="shared" si="0"/>
        <v>174552.12</v>
      </c>
      <c r="H7" s="55">
        <f t="shared" si="0"/>
        <v>7563.9251999999997</v>
      </c>
      <c r="I7" s="55">
        <f t="shared" si="1"/>
        <v>121168.26329999999</v>
      </c>
      <c r="J7" s="55">
        <f t="shared" si="1"/>
        <v>14546.01</v>
      </c>
      <c r="K7" s="55">
        <f t="shared" si="2"/>
        <v>60608.375000000044</v>
      </c>
      <c r="L7" s="55">
        <f t="shared" ref="L7:L21" si="9">(($D7+$E7)*L$5)</f>
        <v>121168.26329999999</v>
      </c>
      <c r="M7" s="58">
        <f t="shared" si="3"/>
        <v>130914.09</v>
      </c>
      <c r="N7" s="56">
        <f t="shared" si="4"/>
        <v>2208763.1318000001</v>
      </c>
      <c r="O7" s="57">
        <f t="shared" ref="O7:O22" si="10">IFERROR(N7/D7,0)</f>
        <v>1.5184666666666666</v>
      </c>
      <c r="P7" s="58">
        <f t="shared" si="5"/>
        <v>0</v>
      </c>
      <c r="Q7" s="59">
        <f t="shared" si="6"/>
        <v>2208763.1318000001</v>
      </c>
      <c r="R7" s="60">
        <f t="shared" si="7"/>
        <v>1.5184666666666666</v>
      </c>
      <c r="S7" s="61">
        <f>+'Parametros Generales'!$C$6</f>
        <v>5</v>
      </c>
      <c r="T7" s="42">
        <v>1</v>
      </c>
      <c r="U7" s="41">
        <f>+'Cost x Depart'!O1275</f>
        <v>22.999999999999993</v>
      </c>
      <c r="V7" s="62">
        <f t="shared" si="8"/>
        <v>254007760.15699992</v>
      </c>
      <c r="W7" s="847"/>
      <c r="X7" s="847"/>
      <c r="Y7" s="847"/>
      <c r="Z7" s="847"/>
      <c r="AA7" s="847"/>
      <c r="AB7" s="847"/>
      <c r="AC7" s="847"/>
      <c r="AD7" s="847"/>
      <c r="AE7" s="847"/>
      <c r="AF7" s="847"/>
      <c r="AG7" s="847"/>
      <c r="AH7" s="643">
        <v>1</v>
      </c>
      <c r="AI7" s="630">
        <v>2000</v>
      </c>
      <c r="AJ7" s="909">
        <v>0.4</v>
      </c>
      <c r="AK7" s="847"/>
      <c r="AL7" s="847"/>
    </row>
    <row r="8" spans="1:38" s="39" customFormat="1">
      <c r="B8" s="52" t="s">
        <v>1352</v>
      </c>
      <c r="C8" s="53" t="s">
        <v>1359</v>
      </c>
      <c r="D8" s="54">
        <f>((+IFERROR(VLOOKUP(C8,'Salarios de Ref'!$B$6:$E$119,4,0),0)))*'Parametros Generales'!C28</f>
        <v>1315939</v>
      </c>
      <c r="E8" s="55">
        <f>(IF(D8&gt;0,IF(D8&lt;=($D$25*2),$D$26,0),0))*'Parametros Generales'!C28</f>
        <v>0</v>
      </c>
      <c r="F8" s="55">
        <f t="shared" si="0"/>
        <v>111854.815</v>
      </c>
      <c r="G8" s="55">
        <f t="shared" si="0"/>
        <v>157912.68</v>
      </c>
      <c r="H8" s="55">
        <f t="shared" si="0"/>
        <v>6842.8827999999994</v>
      </c>
      <c r="I8" s="55">
        <f t="shared" si="1"/>
        <v>109617.7187</v>
      </c>
      <c r="J8" s="55">
        <f t="shared" si="1"/>
        <v>13159.39</v>
      </c>
      <c r="K8" s="55">
        <f t="shared" si="2"/>
        <v>54830.791666666708</v>
      </c>
      <c r="L8" s="55">
        <f t="shared" si="9"/>
        <v>109617.7187</v>
      </c>
      <c r="M8" s="58">
        <f t="shared" si="3"/>
        <v>118434.51</v>
      </c>
      <c r="N8" s="56">
        <f t="shared" si="4"/>
        <v>1998209.5068666667</v>
      </c>
      <c r="O8" s="57">
        <f t="shared" si="10"/>
        <v>1.5184666666666666</v>
      </c>
      <c r="P8" s="58">
        <f t="shared" si="5"/>
        <v>0</v>
      </c>
      <c r="Q8" s="59">
        <f t="shared" si="6"/>
        <v>1998209.5068666667</v>
      </c>
      <c r="R8" s="60">
        <f t="shared" si="7"/>
        <v>1.5184666666666666</v>
      </c>
      <c r="S8" s="61">
        <f>+'Parametros Generales'!$C$6</f>
        <v>5</v>
      </c>
      <c r="T8" s="42">
        <v>1</v>
      </c>
      <c r="U8" s="41">
        <f>+'Cost x Depart'!Q1275</f>
        <v>219.25</v>
      </c>
      <c r="V8" s="62">
        <f t="shared" si="8"/>
        <v>2190537171.9025831</v>
      </c>
      <c r="W8" s="847"/>
      <c r="X8" s="847"/>
      <c r="Y8" s="847"/>
      <c r="Z8" s="847"/>
      <c r="AA8" s="847"/>
      <c r="AB8" s="847"/>
      <c r="AC8" s="847"/>
      <c r="AD8" s="847"/>
      <c r="AE8" s="847"/>
      <c r="AF8" s="847"/>
      <c r="AG8" s="847"/>
      <c r="AH8" s="644">
        <f>+AI7+1</f>
        <v>2001</v>
      </c>
      <c r="AI8" s="631">
        <f>+AI7+3000</f>
        <v>5000</v>
      </c>
      <c r="AJ8" s="910">
        <v>0.6</v>
      </c>
      <c r="AK8" s="847"/>
      <c r="AL8" s="847"/>
    </row>
    <row r="9" spans="1:38" s="39" customFormat="1">
      <c r="B9" s="52" t="s">
        <v>33</v>
      </c>
      <c r="C9" s="53" t="s">
        <v>1360</v>
      </c>
      <c r="D9" s="54">
        <f>((+IFERROR(VLOOKUP(C9,'Salarios de Ref'!$B$6:$E$119,4,0),0)))*'Parametros Generales'!C28</f>
        <v>606369</v>
      </c>
      <c r="E9" s="55">
        <f>(IF(D9&gt;0,IF(D9&lt;=($D$25*2),$D$26,0),0))*'Parametros Generales'!C28</f>
        <v>70500</v>
      </c>
      <c r="F9" s="55">
        <f t="shared" si="0"/>
        <v>51541.365000000005</v>
      </c>
      <c r="G9" s="55">
        <f t="shared" si="0"/>
        <v>72764.28</v>
      </c>
      <c r="H9" s="55">
        <f t="shared" si="0"/>
        <v>3153.1187999999997</v>
      </c>
      <c r="I9" s="55">
        <f t="shared" si="1"/>
        <v>56383.187700000002</v>
      </c>
      <c r="J9" s="55">
        <f t="shared" si="1"/>
        <v>6768.6900000000005</v>
      </c>
      <c r="K9" s="55">
        <f t="shared" si="2"/>
        <v>25265.375000000018</v>
      </c>
      <c r="L9" s="55">
        <f t="shared" si="9"/>
        <v>56383.187700000002</v>
      </c>
      <c r="M9" s="58">
        <f t="shared" si="3"/>
        <v>54573.21</v>
      </c>
      <c r="N9" s="56">
        <f t="shared" si="4"/>
        <v>1003701.4142</v>
      </c>
      <c r="O9" s="57">
        <f t="shared" si="10"/>
        <v>1.6552650518083873</v>
      </c>
      <c r="P9" s="58">
        <v>0</v>
      </c>
      <c r="Q9" s="59">
        <f t="shared" si="6"/>
        <v>1003701.4142</v>
      </c>
      <c r="R9" s="60">
        <f t="shared" si="7"/>
        <v>1.6552650518083873</v>
      </c>
      <c r="S9" s="61">
        <f>+'Parametros Generales'!$C$6</f>
        <v>5</v>
      </c>
      <c r="T9" s="42">
        <v>1</v>
      </c>
      <c r="U9" s="41">
        <f>+'Cost x Depart'!R1275</f>
        <v>1754</v>
      </c>
      <c r="V9" s="514">
        <f t="shared" si="8"/>
        <v>8802461402.5340004</v>
      </c>
      <c r="W9" s="847"/>
      <c r="X9" s="847"/>
      <c r="Y9" s="847"/>
      <c r="Z9" s="847"/>
      <c r="AA9" s="847"/>
      <c r="AB9" s="847"/>
      <c r="AC9" s="847"/>
      <c r="AD9" s="847"/>
      <c r="AE9" s="847"/>
      <c r="AF9" s="847"/>
      <c r="AG9" s="847"/>
      <c r="AH9" s="644">
        <f>+AI8+1</f>
        <v>5001</v>
      </c>
      <c r="AI9" s="631">
        <f>+AI8+4000</f>
        <v>9000</v>
      </c>
      <c r="AJ9" s="910">
        <v>0.8</v>
      </c>
      <c r="AK9" s="847"/>
      <c r="AL9" s="847"/>
    </row>
    <row r="10" spans="1:38" s="39" customFormat="1" ht="17.25" thickBot="1">
      <c r="B10" s="52" t="s">
        <v>34</v>
      </c>
      <c r="C10" s="53" t="s">
        <v>35</v>
      </c>
      <c r="D10" s="54">
        <f>((+IFERROR(VLOOKUP(C10,'Salarios de Ref'!$B$6:$E$119,4,0),0)))*'Parametros Generales'!C28</f>
        <v>589500</v>
      </c>
      <c r="E10" s="55">
        <f>(IF(D10&gt;0,IF(D10&lt;=($D$25*2),$D$26,0),0))*'Parametros Generales'!C28</f>
        <v>70500</v>
      </c>
      <c r="F10" s="55">
        <f t="shared" si="0"/>
        <v>50107.5</v>
      </c>
      <c r="G10" s="55">
        <f t="shared" si="0"/>
        <v>70740</v>
      </c>
      <c r="H10" s="55">
        <f t="shared" si="0"/>
        <v>3065.3999999999996</v>
      </c>
      <c r="I10" s="55">
        <f t="shared" si="1"/>
        <v>54978</v>
      </c>
      <c r="J10" s="55">
        <f t="shared" si="1"/>
        <v>6600</v>
      </c>
      <c r="K10" s="55">
        <f t="shared" si="2"/>
        <v>24562.500000000018</v>
      </c>
      <c r="L10" s="55">
        <f t="shared" si="9"/>
        <v>54978</v>
      </c>
      <c r="M10" s="58">
        <f t="shared" si="3"/>
        <v>53055</v>
      </c>
      <c r="N10" s="56">
        <f t="shared" si="4"/>
        <v>978086.40000000002</v>
      </c>
      <c r="O10" s="57">
        <f t="shared" si="10"/>
        <v>1.6591796437659034</v>
      </c>
      <c r="P10" s="58">
        <v>0</v>
      </c>
      <c r="Q10" s="59">
        <f t="shared" si="6"/>
        <v>978086.40000000002</v>
      </c>
      <c r="R10" s="60">
        <f t="shared" si="7"/>
        <v>1.6591796437659034</v>
      </c>
      <c r="S10" s="61">
        <f>+'Parametros Generales'!$C$6</f>
        <v>5</v>
      </c>
      <c r="T10" s="42">
        <v>1</v>
      </c>
      <c r="U10" s="41">
        <f>+'Cost x Depart'!P1275</f>
        <v>22.999999999999993</v>
      </c>
      <c r="V10" s="62">
        <f t="shared" si="8"/>
        <v>112479935.99999997</v>
      </c>
      <c r="W10" s="847"/>
      <c r="X10" s="847"/>
      <c r="Y10" s="847"/>
      <c r="Z10" s="847"/>
      <c r="AA10" s="847"/>
      <c r="AB10" s="847"/>
      <c r="AC10" s="847"/>
      <c r="AD10" s="847"/>
      <c r="AE10" s="847"/>
      <c r="AF10" s="847"/>
      <c r="AG10" s="847"/>
      <c r="AH10" s="645">
        <v>9001</v>
      </c>
      <c r="AI10" s="632" t="s">
        <v>1213</v>
      </c>
      <c r="AJ10" s="911">
        <v>1</v>
      </c>
      <c r="AK10" s="847"/>
      <c r="AL10" s="847"/>
    </row>
    <row r="11" spans="1:38" s="39" customFormat="1">
      <c r="B11" s="52"/>
      <c r="C11" s="53"/>
      <c r="D11" s="54">
        <f>((+IFERROR(VLOOKUP(C11,'Salarios de Ref'!$B$6:$E$119,4,0),0)))*'Parametros Generales'!C28</f>
        <v>0</v>
      </c>
      <c r="E11" s="55">
        <f>(IF(D11&gt;0,IF(D11&lt;=($D$25*2),$D$26,0),0))*'Parametros Generales'!C28</f>
        <v>0</v>
      </c>
      <c r="F11" s="55">
        <f t="shared" si="0"/>
        <v>0</v>
      </c>
      <c r="G11" s="55">
        <f t="shared" si="0"/>
        <v>0</v>
      </c>
      <c r="H11" s="55">
        <f t="shared" si="0"/>
        <v>0</v>
      </c>
      <c r="I11" s="55">
        <f t="shared" si="1"/>
        <v>0</v>
      </c>
      <c r="J11" s="55">
        <f t="shared" si="1"/>
        <v>0</v>
      </c>
      <c r="K11" s="55">
        <f t="shared" si="2"/>
        <v>0</v>
      </c>
      <c r="L11" s="55">
        <f t="shared" si="9"/>
        <v>0</v>
      </c>
      <c r="M11" s="58">
        <f t="shared" si="3"/>
        <v>0</v>
      </c>
      <c r="N11" s="56">
        <f t="shared" si="4"/>
        <v>0</v>
      </c>
      <c r="O11" s="57">
        <f t="shared" si="10"/>
        <v>0</v>
      </c>
      <c r="P11" s="58">
        <v>0</v>
      </c>
      <c r="Q11" s="59">
        <f t="shared" si="6"/>
        <v>0</v>
      </c>
      <c r="R11" s="60">
        <f t="shared" si="7"/>
        <v>0</v>
      </c>
      <c r="S11" s="61">
        <f>+'Parametros Generales'!$C$6</f>
        <v>5</v>
      </c>
      <c r="T11" s="43">
        <v>0</v>
      </c>
      <c r="U11" s="41">
        <v>0</v>
      </c>
      <c r="V11" s="62">
        <f t="shared" si="8"/>
        <v>0</v>
      </c>
      <c r="W11" s="847"/>
      <c r="X11" s="847"/>
      <c r="Y11" s="847"/>
      <c r="Z11" s="847"/>
      <c r="AA11" s="847"/>
      <c r="AB11" s="847"/>
      <c r="AC11" s="847"/>
      <c r="AD11" s="847"/>
      <c r="AE11" s="847"/>
      <c r="AF11" s="847"/>
      <c r="AG11" s="847"/>
      <c r="AH11" s="847"/>
      <c r="AI11" s="847"/>
      <c r="AJ11" s="847"/>
      <c r="AK11" s="847"/>
      <c r="AL11" s="847"/>
    </row>
    <row r="12" spans="1:38" s="39" customFormat="1" ht="17.25" thickBot="1">
      <c r="B12" s="52"/>
      <c r="C12" s="53"/>
      <c r="D12" s="54">
        <f>((+IFERROR(VLOOKUP(C12,'Salarios de Ref'!$B$6:$E$119,4,0),0)))*'Parametros Generales'!C28</f>
        <v>0</v>
      </c>
      <c r="E12" s="55">
        <f>(IF(D12&gt;0,IF(D12&lt;=($D$25*2),$D$26,0),0))*'Parametros Generales'!C28</f>
        <v>0</v>
      </c>
      <c r="F12" s="55">
        <f t="shared" si="0"/>
        <v>0</v>
      </c>
      <c r="G12" s="55">
        <f t="shared" si="0"/>
        <v>0</v>
      </c>
      <c r="H12" s="55">
        <f t="shared" si="0"/>
        <v>0</v>
      </c>
      <c r="I12" s="55">
        <f t="shared" si="1"/>
        <v>0</v>
      </c>
      <c r="J12" s="55">
        <f t="shared" si="1"/>
        <v>0</v>
      </c>
      <c r="K12" s="55">
        <f t="shared" si="2"/>
        <v>0</v>
      </c>
      <c r="L12" s="55">
        <f t="shared" si="9"/>
        <v>0</v>
      </c>
      <c r="M12" s="58">
        <f t="shared" si="3"/>
        <v>0</v>
      </c>
      <c r="N12" s="56">
        <f t="shared" si="4"/>
        <v>0</v>
      </c>
      <c r="O12" s="57">
        <f t="shared" si="10"/>
        <v>0</v>
      </c>
      <c r="P12" s="58">
        <v>0</v>
      </c>
      <c r="Q12" s="59">
        <f t="shared" si="6"/>
        <v>0</v>
      </c>
      <c r="R12" s="60">
        <f t="shared" si="7"/>
        <v>0</v>
      </c>
      <c r="S12" s="61">
        <f>+'Parametros Generales'!$C$6</f>
        <v>5</v>
      </c>
      <c r="T12" s="43">
        <v>0</v>
      </c>
      <c r="U12" s="41">
        <v>0</v>
      </c>
      <c r="V12" s="62">
        <f t="shared" si="8"/>
        <v>0</v>
      </c>
      <c r="W12" s="847"/>
      <c r="X12" s="847"/>
      <c r="Y12" s="847"/>
      <c r="Z12" s="847"/>
      <c r="AA12" s="847"/>
      <c r="AB12" s="847"/>
      <c r="AC12" s="847"/>
      <c r="AD12" s="847"/>
      <c r="AE12" s="847"/>
      <c r="AF12" s="847"/>
      <c r="AG12" s="847"/>
      <c r="AH12" s="847"/>
      <c r="AI12" s="847"/>
      <c r="AJ12" s="847"/>
      <c r="AK12" s="847"/>
      <c r="AL12" s="847"/>
    </row>
    <row r="13" spans="1:38" s="39" customFormat="1">
      <c r="B13" s="52"/>
      <c r="C13" s="53"/>
      <c r="D13" s="54">
        <f>((+IFERROR(VLOOKUP(C13,'Salarios de Ref'!$B$6:$E$119,4,0),0)))*'Parametros Generales'!C28</f>
        <v>0</v>
      </c>
      <c r="E13" s="55">
        <f>(IF(D13&gt;0,IF(D13&lt;=($D$25*2),$D$26,0),0))*'Parametros Generales'!C28</f>
        <v>0</v>
      </c>
      <c r="F13" s="55">
        <f t="shared" si="0"/>
        <v>0</v>
      </c>
      <c r="G13" s="55">
        <f t="shared" si="0"/>
        <v>0</v>
      </c>
      <c r="H13" s="55">
        <f t="shared" si="0"/>
        <v>0</v>
      </c>
      <c r="I13" s="55">
        <f t="shared" si="1"/>
        <v>0</v>
      </c>
      <c r="J13" s="55">
        <f t="shared" si="1"/>
        <v>0</v>
      </c>
      <c r="K13" s="55">
        <f t="shared" si="2"/>
        <v>0</v>
      </c>
      <c r="L13" s="55">
        <f t="shared" si="9"/>
        <v>0</v>
      </c>
      <c r="M13" s="58">
        <f t="shared" si="3"/>
        <v>0</v>
      </c>
      <c r="N13" s="56">
        <f t="shared" si="4"/>
        <v>0</v>
      </c>
      <c r="O13" s="57">
        <f t="shared" si="10"/>
        <v>0</v>
      </c>
      <c r="P13" s="58">
        <v>0</v>
      </c>
      <c r="Q13" s="59">
        <f t="shared" si="6"/>
        <v>0</v>
      </c>
      <c r="R13" s="60">
        <f t="shared" si="7"/>
        <v>0</v>
      </c>
      <c r="S13" s="61">
        <f>+'Parametros Generales'!$C$6</f>
        <v>5</v>
      </c>
      <c r="T13" s="43">
        <v>0</v>
      </c>
      <c r="U13" s="41">
        <v>0</v>
      </c>
      <c r="V13" s="62">
        <f t="shared" si="8"/>
        <v>0</v>
      </c>
      <c r="W13" s="847"/>
      <c r="X13" s="847"/>
      <c r="Y13" s="847"/>
      <c r="Z13" s="847"/>
      <c r="AA13" s="847"/>
      <c r="AB13" s="847"/>
      <c r="AC13" s="847"/>
      <c r="AD13" s="847"/>
      <c r="AE13" s="847"/>
      <c r="AF13" s="847"/>
      <c r="AG13" s="847"/>
      <c r="AH13" s="1195" t="s">
        <v>2325</v>
      </c>
      <c r="AI13" s="1196"/>
      <c r="AJ13" s="1197"/>
      <c r="AK13" s="847"/>
      <c r="AL13" s="847"/>
    </row>
    <row r="14" spans="1:38" s="39" customFormat="1" ht="17.25" thickBot="1">
      <c r="B14" s="52"/>
      <c r="C14" s="53"/>
      <c r="D14" s="54">
        <f>((+IFERROR(VLOOKUP(C14,'Salarios de Ref'!$B$6:$E$119,4,0),0)))*'Parametros Generales'!C28</f>
        <v>0</v>
      </c>
      <c r="E14" s="55">
        <f>(IF(D14&gt;0,IF(D14&lt;=($D$25*2),$D$26,0),0))*'Parametros Generales'!C28</f>
        <v>0</v>
      </c>
      <c r="F14" s="55">
        <f t="shared" si="0"/>
        <v>0</v>
      </c>
      <c r="G14" s="55">
        <f t="shared" si="0"/>
        <v>0</v>
      </c>
      <c r="H14" s="55">
        <f t="shared" si="0"/>
        <v>0</v>
      </c>
      <c r="I14" s="55">
        <f t="shared" si="1"/>
        <v>0</v>
      </c>
      <c r="J14" s="55">
        <f t="shared" si="1"/>
        <v>0</v>
      </c>
      <c r="K14" s="55">
        <f t="shared" si="2"/>
        <v>0</v>
      </c>
      <c r="L14" s="55">
        <f t="shared" si="9"/>
        <v>0</v>
      </c>
      <c r="M14" s="58">
        <f t="shared" si="3"/>
        <v>0</v>
      </c>
      <c r="N14" s="56">
        <f t="shared" si="4"/>
        <v>0</v>
      </c>
      <c r="O14" s="57">
        <f t="shared" si="10"/>
        <v>0</v>
      </c>
      <c r="P14" s="58">
        <v>0</v>
      </c>
      <c r="Q14" s="59">
        <f t="shared" si="6"/>
        <v>0</v>
      </c>
      <c r="R14" s="60">
        <f t="shared" si="7"/>
        <v>0</v>
      </c>
      <c r="S14" s="61">
        <f>+'Parametros Generales'!$C$6</f>
        <v>5</v>
      </c>
      <c r="T14" s="43">
        <v>0</v>
      </c>
      <c r="U14" s="41">
        <v>0</v>
      </c>
      <c r="V14" s="62">
        <f t="shared" si="8"/>
        <v>0</v>
      </c>
      <c r="W14" s="847"/>
      <c r="X14" s="847"/>
      <c r="Y14" s="847"/>
      <c r="Z14" s="847"/>
      <c r="AA14" s="847"/>
      <c r="AB14" s="847"/>
      <c r="AC14" s="847"/>
      <c r="AD14" s="847"/>
      <c r="AE14" s="847"/>
      <c r="AF14" s="847"/>
      <c r="AG14" s="847"/>
      <c r="AH14" s="1198"/>
      <c r="AI14" s="1199"/>
      <c r="AJ14" s="1200"/>
      <c r="AK14" s="847"/>
      <c r="AL14" s="847"/>
    </row>
    <row r="15" spans="1:38" s="39" customFormat="1">
      <c r="B15" s="52"/>
      <c r="C15" s="53"/>
      <c r="D15" s="54">
        <f>((+IFERROR(VLOOKUP(C15,'Salarios de Ref'!$B$6:$E$119,4,0),0)))*'Parametros Generales'!C28</f>
        <v>0</v>
      </c>
      <c r="E15" s="55">
        <f>(IF(D15&gt;0,IF(D15&lt;=($D$25*2),$D$26,0),0))*'Parametros Generales'!C28</f>
        <v>0</v>
      </c>
      <c r="F15" s="55">
        <f t="shared" si="0"/>
        <v>0</v>
      </c>
      <c r="G15" s="55">
        <f t="shared" si="0"/>
        <v>0</v>
      </c>
      <c r="H15" s="55">
        <f t="shared" si="0"/>
        <v>0</v>
      </c>
      <c r="I15" s="55">
        <f t="shared" si="1"/>
        <v>0</v>
      </c>
      <c r="J15" s="55">
        <f t="shared" si="1"/>
        <v>0</v>
      </c>
      <c r="K15" s="55">
        <f t="shared" si="2"/>
        <v>0</v>
      </c>
      <c r="L15" s="55">
        <f t="shared" si="9"/>
        <v>0</v>
      </c>
      <c r="M15" s="58">
        <f t="shared" si="3"/>
        <v>0</v>
      </c>
      <c r="N15" s="56">
        <f t="shared" si="4"/>
        <v>0</v>
      </c>
      <c r="O15" s="57">
        <f t="shared" si="10"/>
        <v>0</v>
      </c>
      <c r="P15" s="58">
        <f t="shared" si="5"/>
        <v>0</v>
      </c>
      <c r="Q15" s="59">
        <f t="shared" si="6"/>
        <v>0</v>
      </c>
      <c r="R15" s="60">
        <f t="shared" si="7"/>
        <v>0</v>
      </c>
      <c r="S15" s="61">
        <f>+'Parametros Generales'!$C$6</f>
        <v>5</v>
      </c>
      <c r="T15" s="43">
        <v>0</v>
      </c>
      <c r="U15" s="41">
        <v>0</v>
      </c>
      <c r="V15" s="62">
        <f t="shared" si="8"/>
        <v>0</v>
      </c>
      <c r="W15" s="847"/>
      <c r="X15" s="847"/>
      <c r="Y15" s="847"/>
      <c r="Z15" s="847"/>
      <c r="AA15" s="847"/>
      <c r="AB15" s="847"/>
      <c r="AC15" s="847"/>
      <c r="AD15" s="847"/>
      <c r="AE15" s="847"/>
      <c r="AF15" s="847"/>
      <c r="AG15" s="847"/>
      <c r="AH15" s="847"/>
      <c r="AI15" s="847"/>
      <c r="AJ15" s="847"/>
      <c r="AK15" s="847"/>
      <c r="AL15" s="847"/>
    </row>
    <row r="16" spans="1:38" s="39" customFormat="1" ht="17.25" thickBot="1">
      <c r="B16" s="52"/>
      <c r="C16" s="53"/>
      <c r="D16" s="54">
        <f>((+IFERROR(VLOOKUP(C16,'Salarios de Ref'!$B$6:$E$119,4,0),0)))*'Parametros Generales'!C28</f>
        <v>0</v>
      </c>
      <c r="E16" s="55">
        <f>(IF(D16&gt;0,IF(D16&lt;=($D$25*2),$D$26,0),0))*'Parametros Generales'!C28</f>
        <v>0</v>
      </c>
      <c r="F16" s="55">
        <f t="shared" si="0"/>
        <v>0</v>
      </c>
      <c r="G16" s="55">
        <f t="shared" si="0"/>
        <v>0</v>
      </c>
      <c r="H16" s="55">
        <f t="shared" si="0"/>
        <v>0</v>
      </c>
      <c r="I16" s="55">
        <f t="shared" si="1"/>
        <v>0</v>
      </c>
      <c r="J16" s="55">
        <f t="shared" si="1"/>
        <v>0</v>
      </c>
      <c r="K16" s="55">
        <f t="shared" si="2"/>
        <v>0</v>
      </c>
      <c r="L16" s="55">
        <f t="shared" si="9"/>
        <v>0</v>
      </c>
      <c r="M16" s="58">
        <f t="shared" si="3"/>
        <v>0</v>
      </c>
      <c r="N16" s="56">
        <f t="shared" si="4"/>
        <v>0</v>
      </c>
      <c r="O16" s="57">
        <f t="shared" si="10"/>
        <v>0</v>
      </c>
      <c r="P16" s="58">
        <f t="shared" si="5"/>
        <v>0</v>
      </c>
      <c r="Q16" s="59">
        <f t="shared" si="6"/>
        <v>0</v>
      </c>
      <c r="R16" s="60">
        <f t="shared" si="7"/>
        <v>0</v>
      </c>
      <c r="S16" s="61">
        <f>+'Parametros Generales'!$C$6</f>
        <v>5</v>
      </c>
      <c r="T16" s="43">
        <v>0</v>
      </c>
      <c r="U16" s="41">
        <v>0</v>
      </c>
      <c r="V16" s="62">
        <f t="shared" si="8"/>
        <v>0</v>
      </c>
      <c r="W16" s="847"/>
      <c r="X16" s="847"/>
      <c r="Y16" s="847"/>
      <c r="Z16" s="847"/>
      <c r="AA16" s="847"/>
      <c r="AB16" s="847"/>
      <c r="AC16" s="847"/>
      <c r="AD16" s="847"/>
      <c r="AE16" s="847"/>
      <c r="AF16" s="847"/>
      <c r="AG16" s="847"/>
      <c r="AH16" s="847"/>
      <c r="AI16" s="847"/>
      <c r="AJ16" s="847"/>
      <c r="AK16" s="847"/>
      <c r="AL16" s="847"/>
    </row>
    <row r="17" spans="2:38" s="39" customFormat="1">
      <c r="B17" s="52"/>
      <c r="C17" s="53"/>
      <c r="D17" s="54">
        <f>((+IFERROR(VLOOKUP(C17,'Salarios de Ref'!$B$6:$E$119,4,0),0)))*'Parametros Generales'!C28</f>
        <v>0</v>
      </c>
      <c r="E17" s="55">
        <f>(IF(D17&gt;0,IF(D17&lt;=($D$25*2),$D$26,0),0))*'Parametros Generales'!C28</f>
        <v>0</v>
      </c>
      <c r="F17" s="55">
        <f t="shared" si="0"/>
        <v>0</v>
      </c>
      <c r="G17" s="55">
        <f t="shared" si="0"/>
        <v>0</v>
      </c>
      <c r="H17" s="55">
        <f t="shared" si="0"/>
        <v>0</v>
      </c>
      <c r="I17" s="55">
        <f t="shared" si="1"/>
        <v>0</v>
      </c>
      <c r="J17" s="55">
        <f t="shared" si="1"/>
        <v>0</v>
      </c>
      <c r="K17" s="55">
        <f t="shared" si="2"/>
        <v>0</v>
      </c>
      <c r="L17" s="55">
        <f t="shared" si="9"/>
        <v>0</v>
      </c>
      <c r="M17" s="58">
        <f t="shared" si="3"/>
        <v>0</v>
      </c>
      <c r="N17" s="56">
        <f t="shared" si="4"/>
        <v>0</v>
      </c>
      <c r="O17" s="57">
        <f t="shared" si="10"/>
        <v>0</v>
      </c>
      <c r="P17" s="58">
        <f t="shared" si="5"/>
        <v>0</v>
      </c>
      <c r="Q17" s="59">
        <f t="shared" si="6"/>
        <v>0</v>
      </c>
      <c r="R17" s="60">
        <f t="shared" si="7"/>
        <v>0</v>
      </c>
      <c r="S17" s="61">
        <f>+'Parametros Generales'!$C$6</f>
        <v>5</v>
      </c>
      <c r="T17" s="43">
        <v>0</v>
      </c>
      <c r="U17" s="41">
        <v>0</v>
      </c>
      <c r="V17" s="62">
        <f t="shared" si="8"/>
        <v>0</v>
      </c>
      <c r="W17" s="847"/>
      <c r="X17" s="847"/>
      <c r="Y17" s="847"/>
      <c r="Z17" s="847"/>
      <c r="AA17" s="847"/>
      <c r="AB17" s="847"/>
      <c r="AC17" s="847"/>
      <c r="AD17" s="847"/>
      <c r="AE17" s="847"/>
      <c r="AF17" s="847"/>
      <c r="AG17" s="847"/>
      <c r="AH17" s="1195" t="s">
        <v>2353</v>
      </c>
      <c r="AI17" s="1196"/>
      <c r="AJ17" s="1197"/>
      <c r="AK17" s="847"/>
      <c r="AL17" s="847"/>
    </row>
    <row r="18" spans="2:38" s="39" customFormat="1" ht="17.25" thickBot="1">
      <c r="B18" s="52"/>
      <c r="C18" s="53"/>
      <c r="D18" s="54">
        <f>((+IFERROR(VLOOKUP(C18,'Salarios de Ref'!$B$6:$E$119,4,0),0)))*'Parametros Generales'!C28</f>
        <v>0</v>
      </c>
      <c r="E18" s="55">
        <f>(IF(D18&gt;0,IF(D18&lt;=($D$25*2),$D$26,0),0))*'Parametros Generales'!C28</f>
        <v>0</v>
      </c>
      <c r="F18" s="55">
        <f t="shared" si="0"/>
        <v>0</v>
      </c>
      <c r="G18" s="55">
        <f t="shared" si="0"/>
        <v>0</v>
      </c>
      <c r="H18" s="55">
        <f t="shared" si="0"/>
        <v>0</v>
      </c>
      <c r="I18" s="55">
        <f t="shared" si="1"/>
        <v>0</v>
      </c>
      <c r="J18" s="55">
        <f t="shared" si="1"/>
        <v>0</v>
      </c>
      <c r="K18" s="55">
        <f t="shared" si="2"/>
        <v>0</v>
      </c>
      <c r="L18" s="55">
        <f t="shared" si="9"/>
        <v>0</v>
      </c>
      <c r="M18" s="58">
        <f t="shared" si="3"/>
        <v>0</v>
      </c>
      <c r="N18" s="56">
        <f t="shared" si="4"/>
        <v>0</v>
      </c>
      <c r="O18" s="57">
        <f t="shared" si="10"/>
        <v>0</v>
      </c>
      <c r="P18" s="58">
        <f t="shared" si="5"/>
        <v>0</v>
      </c>
      <c r="Q18" s="59">
        <f t="shared" si="6"/>
        <v>0</v>
      </c>
      <c r="R18" s="60">
        <f t="shared" si="7"/>
        <v>0</v>
      </c>
      <c r="S18" s="61">
        <f>+'Parametros Generales'!$C$6</f>
        <v>5</v>
      </c>
      <c r="T18" s="43">
        <v>0</v>
      </c>
      <c r="U18" s="41">
        <v>0</v>
      </c>
      <c r="V18" s="62">
        <f t="shared" si="8"/>
        <v>0</v>
      </c>
      <c r="W18" s="847"/>
      <c r="X18" s="847"/>
      <c r="Y18" s="847"/>
      <c r="Z18" s="847"/>
      <c r="AA18" s="847"/>
      <c r="AB18" s="847"/>
      <c r="AC18" s="847"/>
      <c r="AD18" s="847"/>
      <c r="AE18" s="847"/>
      <c r="AF18" s="847"/>
      <c r="AG18" s="847"/>
      <c r="AH18" s="1198"/>
      <c r="AI18" s="1199"/>
      <c r="AJ18" s="1200"/>
      <c r="AK18" s="847"/>
      <c r="AL18" s="847"/>
    </row>
    <row r="19" spans="2:38" s="39" customFormat="1">
      <c r="B19" s="52"/>
      <c r="C19" s="53"/>
      <c r="D19" s="54">
        <f>((+IFERROR(VLOOKUP(C19,'Salarios de Ref'!$B$6:$E$119,4,0),0)))*'Parametros Generales'!C28</f>
        <v>0</v>
      </c>
      <c r="E19" s="55">
        <f>(IF(D19&gt;0,IF(D19&lt;=($D$25*2),$D$26,0),0))*'Parametros Generales'!C28</f>
        <v>0</v>
      </c>
      <c r="F19" s="55">
        <f t="shared" si="0"/>
        <v>0</v>
      </c>
      <c r="G19" s="55">
        <f t="shared" si="0"/>
        <v>0</v>
      </c>
      <c r="H19" s="55">
        <f t="shared" si="0"/>
        <v>0</v>
      </c>
      <c r="I19" s="55">
        <f t="shared" si="1"/>
        <v>0</v>
      </c>
      <c r="J19" s="55">
        <f t="shared" si="1"/>
        <v>0</v>
      </c>
      <c r="K19" s="55">
        <f t="shared" si="2"/>
        <v>0</v>
      </c>
      <c r="L19" s="55">
        <f t="shared" si="9"/>
        <v>0</v>
      </c>
      <c r="M19" s="58">
        <f t="shared" si="3"/>
        <v>0</v>
      </c>
      <c r="N19" s="56">
        <f t="shared" si="4"/>
        <v>0</v>
      </c>
      <c r="O19" s="57">
        <f t="shared" si="10"/>
        <v>0</v>
      </c>
      <c r="P19" s="58">
        <f t="shared" si="5"/>
        <v>0</v>
      </c>
      <c r="Q19" s="59">
        <f t="shared" si="6"/>
        <v>0</v>
      </c>
      <c r="R19" s="60">
        <f t="shared" si="7"/>
        <v>0</v>
      </c>
      <c r="S19" s="61">
        <f>+'Parametros Generales'!$C$6</f>
        <v>5</v>
      </c>
      <c r="T19" s="43">
        <v>0</v>
      </c>
      <c r="U19" s="41">
        <v>0</v>
      </c>
      <c r="V19" s="62">
        <f t="shared" si="8"/>
        <v>0</v>
      </c>
      <c r="W19" s="847"/>
      <c r="X19" s="847"/>
      <c r="Y19" s="847"/>
      <c r="Z19" s="847"/>
      <c r="AA19" s="847"/>
      <c r="AB19" s="847"/>
      <c r="AC19" s="847"/>
      <c r="AD19" s="847"/>
      <c r="AE19" s="847"/>
      <c r="AF19" s="847"/>
      <c r="AG19" s="847"/>
      <c r="AH19" s="847"/>
      <c r="AI19" s="847"/>
      <c r="AJ19" s="847"/>
      <c r="AK19" s="847"/>
      <c r="AL19" s="847"/>
    </row>
    <row r="20" spans="2:38" s="39" customFormat="1">
      <c r="B20" s="52"/>
      <c r="C20" s="53"/>
      <c r="D20" s="54">
        <f>((+IFERROR(VLOOKUP(C20,'Salarios de Ref'!$B$6:$E$119,4,0),0)))*'Parametros Generales'!C28</f>
        <v>0</v>
      </c>
      <c r="E20" s="55">
        <f>(IF(D20&gt;0,IF(D20&lt;=($D$25*2),$D$26,0),0))*'Parametros Generales'!C28</f>
        <v>0</v>
      </c>
      <c r="F20" s="55">
        <f t="shared" si="0"/>
        <v>0</v>
      </c>
      <c r="G20" s="55">
        <f t="shared" si="0"/>
        <v>0</v>
      </c>
      <c r="H20" s="55">
        <f t="shared" si="0"/>
        <v>0</v>
      </c>
      <c r="I20" s="55">
        <f t="shared" si="1"/>
        <v>0</v>
      </c>
      <c r="J20" s="55">
        <f t="shared" si="1"/>
        <v>0</v>
      </c>
      <c r="K20" s="55">
        <f t="shared" si="2"/>
        <v>0</v>
      </c>
      <c r="L20" s="55">
        <f t="shared" si="9"/>
        <v>0</v>
      </c>
      <c r="M20" s="58">
        <f t="shared" si="3"/>
        <v>0</v>
      </c>
      <c r="N20" s="56">
        <f t="shared" si="4"/>
        <v>0</v>
      </c>
      <c r="O20" s="57">
        <f t="shared" si="10"/>
        <v>0</v>
      </c>
      <c r="P20" s="58">
        <f t="shared" si="5"/>
        <v>0</v>
      </c>
      <c r="Q20" s="59">
        <f t="shared" si="6"/>
        <v>0</v>
      </c>
      <c r="R20" s="60">
        <f t="shared" si="7"/>
        <v>0</v>
      </c>
      <c r="S20" s="61">
        <f>+'Parametros Generales'!$C$6</f>
        <v>5</v>
      </c>
      <c r="T20" s="43">
        <v>0</v>
      </c>
      <c r="U20" s="41">
        <v>0</v>
      </c>
      <c r="V20" s="62">
        <f t="shared" si="8"/>
        <v>0</v>
      </c>
    </row>
    <row r="21" spans="2:38" s="39" customFormat="1" ht="17.25" thickBot="1">
      <c r="B21" s="52"/>
      <c r="C21" s="53"/>
      <c r="D21" s="54">
        <f>((+IFERROR(VLOOKUP(C21,'Salarios de Ref'!$B$6:$E$119,4,0),0)))*'Parametros Generales'!C28</f>
        <v>0</v>
      </c>
      <c r="E21" s="55">
        <f>(IF(D21&gt;0,IF(D21&lt;=($D$25*2),$D$26,0),0))*'Parametros Generales'!C28</f>
        <v>0</v>
      </c>
      <c r="F21" s="55">
        <f t="shared" si="0"/>
        <v>0</v>
      </c>
      <c r="G21" s="55">
        <f t="shared" si="0"/>
        <v>0</v>
      </c>
      <c r="H21" s="55">
        <f t="shared" si="0"/>
        <v>0</v>
      </c>
      <c r="I21" s="55">
        <f t="shared" si="1"/>
        <v>0</v>
      </c>
      <c r="J21" s="55">
        <f t="shared" si="1"/>
        <v>0</v>
      </c>
      <c r="K21" s="55">
        <f t="shared" si="2"/>
        <v>0</v>
      </c>
      <c r="L21" s="55">
        <f t="shared" si="9"/>
        <v>0</v>
      </c>
      <c r="M21" s="58">
        <f t="shared" si="3"/>
        <v>0</v>
      </c>
      <c r="N21" s="56">
        <f t="shared" si="4"/>
        <v>0</v>
      </c>
      <c r="O21" s="57">
        <f t="shared" si="10"/>
        <v>0</v>
      </c>
      <c r="P21" s="58">
        <f t="shared" si="5"/>
        <v>0</v>
      </c>
      <c r="Q21" s="59">
        <f t="shared" si="6"/>
        <v>0</v>
      </c>
      <c r="R21" s="60">
        <f t="shared" si="7"/>
        <v>0</v>
      </c>
      <c r="S21" s="61">
        <f>+'Parametros Generales'!$C$6</f>
        <v>5</v>
      </c>
      <c r="T21" s="43">
        <v>0</v>
      </c>
      <c r="U21" s="41">
        <v>0</v>
      </c>
      <c r="V21" s="62">
        <f t="shared" si="8"/>
        <v>0</v>
      </c>
    </row>
    <row r="22" spans="2:38" ht="17.25" thickBot="1">
      <c r="B22" s="63" t="s">
        <v>26</v>
      </c>
      <c r="C22" s="64"/>
      <c r="D22" s="65">
        <f t="shared" ref="D22:N22" si="11">SUM(D6:D21)</f>
        <v>5896878</v>
      </c>
      <c r="E22" s="66">
        <f t="shared" si="11"/>
        <v>141000</v>
      </c>
      <c r="F22" s="66">
        <f t="shared" si="11"/>
        <v>501234.63</v>
      </c>
      <c r="G22" s="66">
        <f t="shared" si="11"/>
        <v>707625.3600000001</v>
      </c>
      <c r="H22" s="66">
        <f t="shared" si="11"/>
        <v>30663.765599999999</v>
      </c>
      <c r="I22" s="66">
        <f t="shared" si="11"/>
        <v>502955.23739999998</v>
      </c>
      <c r="J22" s="66">
        <f t="shared" si="11"/>
        <v>60378.78</v>
      </c>
      <c r="K22" s="66">
        <f t="shared" si="11"/>
        <v>245703.2500000002</v>
      </c>
      <c r="L22" s="66">
        <f t="shared" si="11"/>
        <v>502955.23739999998</v>
      </c>
      <c r="M22" s="499"/>
      <c r="N22" s="67">
        <f t="shared" si="11"/>
        <v>9120113.2804000005</v>
      </c>
      <c r="O22" s="68">
        <f t="shared" si="10"/>
        <v>1.5466002994126724</v>
      </c>
      <c r="P22" s="67">
        <f>SUM(P6:P21)</f>
        <v>0</v>
      </c>
      <c r="Q22" s="67">
        <f>SUM(Q6:Q21)</f>
        <v>9120113.2804000005</v>
      </c>
      <c r="R22" s="69">
        <f t="shared" si="7"/>
        <v>1.5466002994126724</v>
      </c>
      <c r="S22" s="69"/>
      <c r="T22" s="69"/>
      <c r="U22" s="70"/>
      <c r="V22" s="92">
        <f>SUM(V6:V21)</f>
        <v>11696591845.759916</v>
      </c>
    </row>
    <row r="23" spans="2:38" ht="6" customHeight="1" thickBot="1">
      <c r="B23" s="71"/>
      <c r="C23" s="71"/>
      <c r="D23" s="72"/>
      <c r="E23" s="73"/>
      <c r="F23" s="74"/>
      <c r="G23" s="73"/>
      <c r="H23" s="73"/>
      <c r="I23" s="74"/>
      <c r="J23" s="73"/>
      <c r="K23" s="73"/>
      <c r="L23" s="73"/>
      <c r="M23" s="73"/>
      <c r="N23" s="44"/>
      <c r="O23" s="73"/>
      <c r="P23" s="44"/>
      <c r="Q23" s="44"/>
      <c r="R23" s="44"/>
      <c r="S23" s="44"/>
      <c r="T23" s="44"/>
      <c r="U23" s="44"/>
      <c r="V23" s="44"/>
    </row>
    <row r="24" spans="2:38" ht="17.25" thickBot="1">
      <c r="B24" s="75" t="s">
        <v>27</v>
      </c>
      <c r="C24" s="76"/>
      <c r="D24" s="77">
        <v>2012</v>
      </c>
      <c r="E24" s="78"/>
      <c r="F24" s="78"/>
      <c r="G24" s="78"/>
      <c r="H24" s="78"/>
      <c r="I24" s="78"/>
      <c r="J24" s="78"/>
      <c r="K24" s="78"/>
      <c r="L24" s="78"/>
      <c r="M24" s="78"/>
      <c r="N24" s="44"/>
      <c r="O24" s="79"/>
      <c r="P24" s="44"/>
      <c r="Q24" s="44"/>
      <c r="R24" s="44"/>
      <c r="S24" s="44"/>
      <c r="T24" s="44"/>
      <c r="U24" s="44"/>
      <c r="V24" s="44"/>
    </row>
    <row r="25" spans="2:38" ht="16.5" customHeight="1">
      <c r="B25" s="80" t="s">
        <v>28</v>
      </c>
      <c r="C25" s="81"/>
      <c r="D25" s="82">
        <f>ROUND(566700*1.0402,-2)</f>
        <v>589500</v>
      </c>
      <c r="E25" s="78"/>
      <c r="F25" s="78"/>
      <c r="G25" s="73"/>
      <c r="H25" s="78"/>
      <c r="I25" s="78"/>
      <c r="J25" s="78"/>
      <c r="K25" s="78"/>
      <c r="L25" s="78"/>
      <c r="M25" s="78"/>
      <c r="N25" s="44"/>
      <c r="O25" s="79"/>
      <c r="P25" s="44"/>
      <c r="Q25" s="44"/>
      <c r="R25" s="44"/>
      <c r="S25" s="44"/>
      <c r="T25" s="44"/>
      <c r="U25" s="44"/>
      <c r="V25" s="44"/>
    </row>
    <row r="26" spans="2:38" ht="16.5" customHeight="1">
      <c r="B26" s="83" t="s">
        <v>29</v>
      </c>
      <c r="C26" s="84"/>
      <c r="D26" s="85">
        <v>70500</v>
      </c>
      <c r="E26" s="78"/>
      <c r="F26" s="78"/>
      <c r="G26" s="86"/>
      <c r="H26" s="78"/>
      <c r="I26" s="78"/>
      <c r="J26" s="78"/>
      <c r="K26" s="78"/>
      <c r="L26" s="78"/>
      <c r="M26" s="78"/>
      <c r="N26" s="44"/>
      <c r="O26" s="79"/>
      <c r="P26" s="44"/>
      <c r="Q26" s="44"/>
      <c r="R26" s="44"/>
      <c r="S26" s="44"/>
      <c r="T26" s="44"/>
      <c r="U26" s="44"/>
      <c r="V26" s="44"/>
    </row>
    <row r="27" spans="2:38" ht="16.5" customHeight="1">
      <c r="B27" s="83" t="s">
        <v>30</v>
      </c>
      <c r="C27" s="84"/>
      <c r="D27" s="85">
        <f>105000*3/12</f>
        <v>26250</v>
      </c>
      <c r="E27" s="44"/>
      <c r="F27" s="44"/>
      <c r="G27" s="44"/>
      <c r="H27" s="44"/>
      <c r="I27" s="44"/>
      <c r="J27" s="44"/>
      <c r="K27" s="44"/>
      <c r="L27" s="44"/>
      <c r="M27" s="44"/>
      <c r="N27" s="44"/>
      <c r="O27" s="44"/>
      <c r="P27" s="44"/>
      <c r="Q27" s="44"/>
      <c r="R27" s="44"/>
      <c r="S27" s="44"/>
      <c r="T27" s="44"/>
      <c r="U27" s="44"/>
      <c r="V27" s="44"/>
    </row>
    <row r="28" spans="2:38" ht="16.5" customHeight="1" thickBot="1">
      <c r="B28" s="87" t="s">
        <v>31</v>
      </c>
      <c r="C28" s="88"/>
      <c r="D28" s="89">
        <v>30</v>
      </c>
      <c r="E28" s="44"/>
      <c r="F28" s="44"/>
      <c r="G28" s="44"/>
      <c r="H28" s="44"/>
      <c r="I28" s="44"/>
      <c r="J28" s="44"/>
      <c r="K28" s="44"/>
      <c r="L28" s="44"/>
      <c r="M28" s="44"/>
      <c r="N28" s="44"/>
      <c r="O28" s="44"/>
      <c r="P28" s="44"/>
      <c r="Q28" s="44"/>
      <c r="R28" s="44"/>
      <c r="S28" s="44"/>
      <c r="T28" s="44"/>
      <c r="U28" s="44"/>
      <c r="V28" s="44"/>
    </row>
    <row r="29" spans="2:38">
      <c r="B29" s="90"/>
      <c r="C29" s="45"/>
      <c r="D29" s="45"/>
      <c r="E29" s="45"/>
      <c r="F29" s="45"/>
      <c r="G29" s="45"/>
      <c r="H29" s="45"/>
      <c r="I29" s="45"/>
      <c r="J29" s="45"/>
      <c r="K29" s="45"/>
      <c r="L29" s="45"/>
      <c r="M29" s="45"/>
      <c r="N29" s="45"/>
      <c r="O29" s="45"/>
      <c r="P29" s="45"/>
      <c r="Q29" s="45"/>
    </row>
    <row r="30" spans="2:38" ht="6" customHeight="1">
      <c r="B30" s="45"/>
      <c r="C30" s="45"/>
      <c r="D30" s="45"/>
      <c r="E30" s="45"/>
      <c r="F30" s="45"/>
      <c r="G30" s="45"/>
      <c r="H30" s="45"/>
      <c r="I30" s="45"/>
      <c r="J30" s="45"/>
      <c r="K30" s="45"/>
      <c r="L30" s="45"/>
      <c r="M30" s="45"/>
      <c r="N30" s="45"/>
      <c r="O30" s="45"/>
      <c r="P30" s="45"/>
      <c r="Q30" s="45"/>
    </row>
    <row r="31" spans="2:38">
      <c r="B31" s="46"/>
      <c r="C31" s="45"/>
      <c r="D31" s="47"/>
      <c r="E31" s="45"/>
      <c r="F31" s="45"/>
      <c r="G31" s="45"/>
      <c r="H31" s="45"/>
      <c r="I31" s="45"/>
      <c r="J31" s="45"/>
      <c r="K31" s="45"/>
      <c r="L31" s="45"/>
      <c r="M31" s="45"/>
      <c r="N31" s="45"/>
      <c r="O31" s="45"/>
      <c r="P31" s="45"/>
      <c r="Q31" s="45"/>
    </row>
    <row r="32" spans="2:38" hidden="1">
      <c r="B32" s="48"/>
      <c r="C32" s="91"/>
      <c r="D32" s="49"/>
    </row>
    <row r="33" spans="2:4" hidden="1">
      <c r="B33" s="48" t="str">
        <f>+'Salarios de Ref'!B6</f>
        <v>Directivo 1</v>
      </c>
      <c r="C33" s="91"/>
      <c r="D33" s="49"/>
    </row>
    <row r="34" spans="2:4" hidden="1">
      <c r="B34" s="48" t="str">
        <f>+'Salarios de Ref'!B7</f>
        <v>Directivo 2</v>
      </c>
      <c r="C34" s="45"/>
      <c r="D34" s="45"/>
    </row>
    <row r="35" spans="2:4" hidden="1">
      <c r="B35" s="48" t="str">
        <f>+'Salarios de Ref'!B8</f>
        <v>Directivo 3</v>
      </c>
    </row>
    <row r="36" spans="2:4" hidden="1">
      <c r="B36" s="48" t="str">
        <f>+'Salarios de Ref'!B9</f>
        <v>Directivo 4</v>
      </c>
    </row>
    <row r="37" spans="2:4" hidden="1">
      <c r="B37" s="48" t="str">
        <f>+'Salarios de Ref'!B10</f>
        <v>Directivo 5</v>
      </c>
    </row>
    <row r="38" spans="2:4" hidden="1">
      <c r="B38" s="48" t="str">
        <f>+'Salarios de Ref'!B11</f>
        <v>Directivo 6</v>
      </c>
    </row>
    <row r="39" spans="2:4" hidden="1">
      <c r="B39" s="48" t="str">
        <f>+'Salarios de Ref'!B12</f>
        <v>Directivo 7</v>
      </c>
    </row>
    <row r="40" spans="2:4" hidden="1">
      <c r="B40" s="48" t="str">
        <f>+'Salarios de Ref'!B13</f>
        <v>Directivo 8</v>
      </c>
    </row>
    <row r="41" spans="2:4" hidden="1">
      <c r="B41" s="48" t="str">
        <f>+'Salarios de Ref'!B14</f>
        <v>Directivo 9</v>
      </c>
    </row>
    <row r="42" spans="2:4" hidden="1">
      <c r="B42" s="48" t="str">
        <f>+'Salarios de Ref'!B15</f>
        <v>Directivo 10</v>
      </c>
    </row>
    <row r="43" spans="2:4" hidden="1">
      <c r="B43" s="48" t="str">
        <f>+'Salarios de Ref'!B16</f>
        <v>Directivo 11</v>
      </c>
    </row>
    <row r="44" spans="2:4" hidden="1">
      <c r="B44" s="48" t="str">
        <f>+'Salarios de Ref'!B17</f>
        <v>Directivo 12</v>
      </c>
    </row>
    <row r="45" spans="2:4" hidden="1">
      <c r="B45" s="48" t="str">
        <f>+'Salarios de Ref'!B18</f>
        <v>Directivo 13</v>
      </c>
    </row>
    <row r="46" spans="2:4" hidden="1">
      <c r="B46" s="48" t="str">
        <f>+'Salarios de Ref'!B19</f>
        <v>Directivo 14</v>
      </c>
    </row>
    <row r="47" spans="2:4" hidden="1">
      <c r="B47" s="48" t="str">
        <f>+'Salarios de Ref'!B20</f>
        <v>Directivo 15</v>
      </c>
    </row>
    <row r="48" spans="2:4" hidden="1">
      <c r="B48" s="48" t="str">
        <f>+'Salarios de Ref'!B21</f>
        <v>Directivo 16</v>
      </c>
    </row>
    <row r="49" spans="2:2" hidden="1">
      <c r="B49" s="48" t="str">
        <f>+'Salarios de Ref'!B22</f>
        <v>Directivo 17</v>
      </c>
    </row>
    <row r="50" spans="2:2" hidden="1">
      <c r="B50" s="48" t="str">
        <f>+'Salarios de Ref'!B23</f>
        <v>Directivo 18</v>
      </c>
    </row>
    <row r="51" spans="2:2" hidden="1">
      <c r="B51" s="48" t="str">
        <f>+'Salarios de Ref'!B24</f>
        <v>Directivo 19</v>
      </c>
    </row>
    <row r="52" spans="2:2" hidden="1">
      <c r="B52" s="48" t="str">
        <f>+'Salarios de Ref'!B25</f>
        <v>Directivo 20</v>
      </c>
    </row>
    <row r="53" spans="2:2" hidden="1">
      <c r="B53" s="48" t="str">
        <f>+'Salarios de Ref'!B26</f>
        <v>Directivo 21</v>
      </c>
    </row>
    <row r="54" spans="2:2" hidden="1">
      <c r="B54" s="48" t="str">
        <f>+'Salarios de Ref'!B27</f>
        <v>Directivo 22</v>
      </c>
    </row>
    <row r="55" spans="2:2" hidden="1">
      <c r="B55" s="48" t="str">
        <f>+'Salarios de Ref'!B28</f>
        <v>Directivo 23</v>
      </c>
    </row>
    <row r="56" spans="2:2" hidden="1">
      <c r="B56" s="48" t="str">
        <f>+'Salarios de Ref'!B29</f>
        <v>Directivo 24</v>
      </c>
    </row>
    <row r="57" spans="2:2" hidden="1">
      <c r="B57" s="48" t="str">
        <f>+'Salarios de Ref'!B30</f>
        <v>Directivo 25</v>
      </c>
    </row>
    <row r="58" spans="2:2" hidden="1">
      <c r="B58" s="48" t="str">
        <f>+'Salarios de Ref'!B31</f>
        <v>Directivo 26</v>
      </c>
    </row>
    <row r="59" spans="2:2" hidden="1">
      <c r="B59" s="48" t="str">
        <f>+'Salarios de Ref'!B32</f>
        <v>Directivo 27</v>
      </c>
    </row>
    <row r="60" spans="2:2" hidden="1">
      <c r="B60" s="48" t="str">
        <f>+'Salarios de Ref'!B33</f>
        <v>Asesor 1</v>
      </c>
    </row>
    <row r="61" spans="2:2" hidden="1">
      <c r="B61" s="48" t="str">
        <f>+'Salarios de Ref'!B34</f>
        <v>Asesor 2</v>
      </c>
    </row>
    <row r="62" spans="2:2" hidden="1">
      <c r="B62" s="48" t="str">
        <f>+'Salarios de Ref'!B35</f>
        <v>Asesor 3</v>
      </c>
    </row>
    <row r="63" spans="2:2" hidden="1">
      <c r="B63" s="48" t="str">
        <f>+'Salarios de Ref'!B36</f>
        <v>Asesor 4</v>
      </c>
    </row>
    <row r="64" spans="2:2" hidden="1">
      <c r="B64" s="48" t="str">
        <f>+'Salarios de Ref'!B37</f>
        <v>Asesor 5</v>
      </c>
    </row>
    <row r="65" spans="2:2" hidden="1">
      <c r="B65" s="48" t="str">
        <f>+'Salarios de Ref'!B38</f>
        <v>Asesor 6</v>
      </c>
    </row>
    <row r="66" spans="2:2" hidden="1">
      <c r="B66" s="48" t="str">
        <f>+'Salarios de Ref'!B39</f>
        <v>Asesor 7</v>
      </c>
    </row>
    <row r="67" spans="2:2" hidden="1">
      <c r="B67" s="48" t="str">
        <f>+'Salarios de Ref'!B40</f>
        <v>Asesor 8</v>
      </c>
    </row>
    <row r="68" spans="2:2" hidden="1">
      <c r="B68" s="48" t="str">
        <f>+'Salarios de Ref'!B41</f>
        <v>Asesor 9</v>
      </c>
    </row>
    <row r="69" spans="2:2" hidden="1">
      <c r="B69" s="48" t="str">
        <f>+'Salarios de Ref'!B42</f>
        <v>Asesor 10</v>
      </c>
    </row>
    <row r="70" spans="2:2" hidden="1">
      <c r="B70" s="48" t="str">
        <f>+'Salarios de Ref'!B43</f>
        <v>Asesor 11</v>
      </c>
    </row>
    <row r="71" spans="2:2" hidden="1">
      <c r="B71" s="48" t="str">
        <f>+'Salarios de Ref'!B44</f>
        <v>Asesor 12</v>
      </c>
    </row>
    <row r="72" spans="2:2" hidden="1">
      <c r="B72" s="48" t="str">
        <f>+'Salarios de Ref'!B45</f>
        <v>Asesor 13</v>
      </c>
    </row>
    <row r="73" spans="2:2" hidden="1">
      <c r="B73" s="48" t="str">
        <f>+'Salarios de Ref'!B46</f>
        <v>Asesor 14</v>
      </c>
    </row>
    <row r="74" spans="2:2" hidden="1">
      <c r="B74" s="48" t="str">
        <f>+'Salarios de Ref'!B47</f>
        <v>Asesor 15</v>
      </c>
    </row>
    <row r="75" spans="2:2" hidden="1">
      <c r="B75" s="48" t="str">
        <f>+'Salarios de Ref'!B48</f>
        <v>Asesor 16</v>
      </c>
    </row>
    <row r="76" spans="2:2" hidden="1">
      <c r="B76" s="48" t="str">
        <f>+'Salarios de Ref'!B49</f>
        <v>Asesor 17</v>
      </c>
    </row>
    <row r="77" spans="2:2" hidden="1">
      <c r="B77" s="48" t="str">
        <f>+'Salarios de Ref'!B50</f>
        <v>Asesor 18</v>
      </c>
    </row>
    <row r="78" spans="2:2" hidden="1">
      <c r="B78" s="48" t="str">
        <f>+'Salarios de Ref'!B51</f>
        <v>Profesional  1</v>
      </c>
    </row>
    <row r="79" spans="2:2" hidden="1">
      <c r="B79" s="48" t="str">
        <f>+'Salarios de Ref'!B52</f>
        <v>Profesional  2</v>
      </c>
    </row>
    <row r="80" spans="2:2" hidden="1">
      <c r="B80" s="48" t="str">
        <f>+'Salarios de Ref'!B53</f>
        <v>Profesional  3</v>
      </c>
    </row>
    <row r="81" spans="2:2" hidden="1">
      <c r="B81" s="48" t="str">
        <f>+'Salarios de Ref'!B54</f>
        <v>Profesional  4</v>
      </c>
    </row>
    <row r="82" spans="2:2" hidden="1">
      <c r="B82" s="48" t="str">
        <f>+'Salarios de Ref'!B55</f>
        <v>Profesional  5</v>
      </c>
    </row>
    <row r="83" spans="2:2" hidden="1">
      <c r="B83" s="48" t="str">
        <f>+'Salarios de Ref'!B56</f>
        <v>Profesional  6</v>
      </c>
    </row>
    <row r="84" spans="2:2" hidden="1">
      <c r="B84" s="48" t="str">
        <f>+'Salarios de Ref'!B57</f>
        <v>Profesional  7</v>
      </c>
    </row>
    <row r="85" spans="2:2" hidden="1">
      <c r="B85" s="48" t="str">
        <f>+'Salarios de Ref'!B58</f>
        <v>Profesional  8</v>
      </c>
    </row>
    <row r="86" spans="2:2" hidden="1">
      <c r="B86" s="48" t="str">
        <f>+'Salarios de Ref'!B59</f>
        <v>Profesional  9</v>
      </c>
    </row>
    <row r="87" spans="2:2" hidden="1">
      <c r="B87" s="48" t="str">
        <f>+'Salarios de Ref'!B60</f>
        <v>Profesional  10</v>
      </c>
    </row>
    <row r="88" spans="2:2" hidden="1">
      <c r="B88" s="48" t="str">
        <f>+'Salarios de Ref'!B61</f>
        <v>Profesional  11</v>
      </c>
    </row>
    <row r="89" spans="2:2" hidden="1">
      <c r="B89" s="48" t="str">
        <f>+'Salarios de Ref'!B62</f>
        <v>Profesional  12</v>
      </c>
    </row>
    <row r="90" spans="2:2" hidden="1">
      <c r="B90" s="48" t="str">
        <f>+'Salarios de Ref'!B63</f>
        <v>Profesional  13</v>
      </c>
    </row>
    <row r="91" spans="2:2" hidden="1">
      <c r="B91" s="48" t="str">
        <f>+'Salarios de Ref'!B64</f>
        <v>Profesional  14</v>
      </c>
    </row>
    <row r="92" spans="2:2" hidden="1">
      <c r="B92" s="48" t="str">
        <f>+'Salarios de Ref'!B65</f>
        <v>Profesional  15</v>
      </c>
    </row>
    <row r="93" spans="2:2" hidden="1">
      <c r="B93" s="48" t="str">
        <f>+'Salarios de Ref'!B66</f>
        <v>Profesional  16</v>
      </c>
    </row>
    <row r="94" spans="2:2" hidden="1">
      <c r="B94" s="48" t="str">
        <f>+'Salarios de Ref'!B67</f>
        <v>Profesional  17</v>
      </c>
    </row>
    <row r="95" spans="2:2" hidden="1">
      <c r="B95" s="48" t="str">
        <f>+'Salarios de Ref'!B68</f>
        <v>Profesional  18</v>
      </c>
    </row>
    <row r="96" spans="2:2" hidden="1">
      <c r="B96" s="48" t="str">
        <f>+'Salarios de Ref'!B69</f>
        <v>Profesional  19</v>
      </c>
    </row>
    <row r="97" spans="2:2" hidden="1">
      <c r="B97" s="48" t="str">
        <f>+'Salarios de Ref'!B70</f>
        <v>Profesional  20</v>
      </c>
    </row>
    <row r="98" spans="2:2" hidden="1">
      <c r="B98" s="48" t="str">
        <f>+'Salarios de Ref'!B71</f>
        <v>Profesional  21</v>
      </c>
    </row>
    <row r="99" spans="2:2" hidden="1">
      <c r="B99" s="48" t="str">
        <f>+'Salarios de Ref'!B72</f>
        <v>Profesional  22</v>
      </c>
    </row>
    <row r="100" spans="2:2" hidden="1">
      <c r="B100" s="48" t="str">
        <f>+'Salarios de Ref'!B73</f>
        <v>Profesional  23</v>
      </c>
    </row>
    <row r="101" spans="2:2" hidden="1">
      <c r="B101" s="48" t="str">
        <f>+'Salarios de Ref'!B74</f>
        <v>Profesional  24</v>
      </c>
    </row>
    <row r="102" spans="2:2" hidden="1">
      <c r="B102" s="48" t="str">
        <f>+'Salarios de Ref'!B75</f>
        <v>Técnico 1</v>
      </c>
    </row>
    <row r="103" spans="2:2" hidden="1">
      <c r="B103" s="48" t="str">
        <f>+'Salarios de Ref'!B76</f>
        <v>Técnico 2</v>
      </c>
    </row>
    <row r="104" spans="2:2" hidden="1">
      <c r="B104" s="48" t="str">
        <f>+'Salarios de Ref'!B77</f>
        <v>Técnico 3</v>
      </c>
    </row>
    <row r="105" spans="2:2" hidden="1">
      <c r="B105" s="48" t="str">
        <f>+'Salarios de Ref'!B78</f>
        <v>Técnico 4</v>
      </c>
    </row>
    <row r="106" spans="2:2" hidden="1">
      <c r="B106" s="48" t="str">
        <f>+'Salarios de Ref'!B79</f>
        <v>Técnico 5</v>
      </c>
    </row>
    <row r="107" spans="2:2" hidden="1">
      <c r="B107" s="48" t="str">
        <f>+'Salarios de Ref'!B80</f>
        <v>Técnico 6</v>
      </c>
    </row>
    <row r="108" spans="2:2" hidden="1">
      <c r="B108" s="48" t="str">
        <f>+'Salarios de Ref'!B81</f>
        <v>Técnico 7</v>
      </c>
    </row>
    <row r="109" spans="2:2" hidden="1">
      <c r="B109" s="48" t="str">
        <f>+'Salarios de Ref'!B82</f>
        <v>Técnico 8</v>
      </c>
    </row>
    <row r="110" spans="2:2" hidden="1">
      <c r="B110" s="48" t="str">
        <f>+'Salarios de Ref'!B83</f>
        <v>Técnico 9</v>
      </c>
    </row>
    <row r="111" spans="2:2" hidden="1">
      <c r="B111" s="48" t="str">
        <f>+'Salarios de Ref'!B84</f>
        <v>Técnico 10</v>
      </c>
    </row>
    <row r="112" spans="2:2" hidden="1">
      <c r="B112" s="48" t="str">
        <f>+'Salarios de Ref'!B85</f>
        <v>Técnico 11</v>
      </c>
    </row>
    <row r="113" spans="2:2" hidden="1">
      <c r="B113" s="48" t="str">
        <f>+'Salarios de Ref'!B86</f>
        <v>Técnico 12</v>
      </c>
    </row>
    <row r="114" spans="2:2" hidden="1">
      <c r="B114" s="48" t="str">
        <f>+'Salarios de Ref'!B87</f>
        <v>Técnico 13</v>
      </c>
    </row>
    <row r="115" spans="2:2" hidden="1">
      <c r="B115" s="48" t="str">
        <f>+'Salarios de Ref'!B88</f>
        <v>Técnico 14</v>
      </c>
    </row>
    <row r="116" spans="2:2" hidden="1">
      <c r="B116" s="48" t="str">
        <f>+'Salarios de Ref'!B89</f>
        <v>Técnico 15</v>
      </c>
    </row>
    <row r="117" spans="2:2" hidden="1">
      <c r="B117" s="48" t="str">
        <f>+'Salarios de Ref'!B90</f>
        <v>Técnico 16</v>
      </c>
    </row>
    <row r="118" spans="2:2" hidden="1">
      <c r="B118" s="48" t="str">
        <f>+'Salarios de Ref'!B91</f>
        <v>Técnico 17</v>
      </c>
    </row>
    <row r="119" spans="2:2" hidden="1">
      <c r="B119" s="48" t="str">
        <f>+'Salarios de Ref'!B92</f>
        <v>Técnico 18</v>
      </c>
    </row>
    <row r="120" spans="2:2" hidden="1">
      <c r="B120" s="48" t="str">
        <f>+'Salarios de Ref'!B93</f>
        <v>Asistencial  1</v>
      </c>
    </row>
    <row r="121" spans="2:2" hidden="1">
      <c r="B121" s="48" t="str">
        <f>+'Salarios de Ref'!B94</f>
        <v>Asistencial  2</v>
      </c>
    </row>
    <row r="122" spans="2:2" hidden="1">
      <c r="B122" s="48" t="str">
        <f>+'Salarios de Ref'!B95</f>
        <v>Asistencial  3</v>
      </c>
    </row>
    <row r="123" spans="2:2" hidden="1">
      <c r="B123" s="48" t="str">
        <f>+'Salarios de Ref'!B96</f>
        <v>Asistencial  4</v>
      </c>
    </row>
    <row r="124" spans="2:2" hidden="1">
      <c r="B124" s="48" t="str">
        <f>+'Salarios de Ref'!B97</f>
        <v>Asistencial  5</v>
      </c>
    </row>
    <row r="125" spans="2:2" hidden="1">
      <c r="B125" s="48" t="str">
        <f>+'Salarios de Ref'!B98</f>
        <v>Asistencial  6</v>
      </c>
    </row>
    <row r="126" spans="2:2" hidden="1">
      <c r="B126" s="48" t="str">
        <f>+'Salarios de Ref'!B99</f>
        <v>Asistencial  7</v>
      </c>
    </row>
    <row r="127" spans="2:2" hidden="1">
      <c r="B127" s="48" t="str">
        <f>+'Salarios de Ref'!B100</f>
        <v>Asistencial  8</v>
      </c>
    </row>
    <row r="128" spans="2:2" hidden="1">
      <c r="B128" s="48" t="str">
        <f>+'Salarios de Ref'!B101</f>
        <v>Asistencial  9</v>
      </c>
    </row>
    <row r="129" spans="2:2" hidden="1">
      <c r="B129" s="48" t="str">
        <f>+'Salarios de Ref'!B102</f>
        <v>Asistencial  10</v>
      </c>
    </row>
    <row r="130" spans="2:2" hidden="1">
      <c r="B130" s="48" t="str">
        <f>+'Salarios de Ref'!B103</f>
        <v>Asistencial  11</v>
      </c>
    </row>
    <row r="131" spans="2:2" hidden="1">
      <c r="B131" s="48" t="str">
        <f>+'Salarios de Ref'!B104</f>
        <v>Asistencial  12</v>
      </c>
    </row>
    <row r="132" spans="2:2" hidden="1">
      <c r="B132" s="48" t="str">
        <f>+'Salarios de Ref'!B105</f>
        <v>Asistencial  13</v>
      </c>
    </row>
    <row r="133" spans="2:2" hidden="1">
      <c r="B133" s="48" t="str">
        <f>+'Salarios de Ref'!B106</f>
        <v>Asistencial  14</v>
      </c>
    </row>
    <row r="134" spans="2:2" hidden="1">
      <c r="B134" s="48" t="str">
        <f>+'Salarios de Ref'!B107</f>
        <v>Asistencial  15</v>
      </c>
    </row>
    <row r="135" spans="2:2" hidden="1">
      <c r="B135" s="48" t="str">
        <f>+'Salarios de Ref'!B108</f>
        <v>Asistencial  16</v>
      </c>
    </row>
    <row r="136" spans="2:2" hidden="1">
      <c r="B136" s="48" t="str">
        <f>+'Salarios de Ref'!B109</f>
        <v>Asistencial  17</v>
      </c>
    </row>
    <row r="137" spans="2:2" hidden="1">
      <c r="B137" s="48" t="str">
        <f>+'Salarios de Ref'!B110</f>
        <v>Asistencial  18</v>
      </c>
    </row>
    <row r="138" spans="2:2" hidden="1">
      <c r="B138" s="48" t="str">
        <f>+'Salarios de Ref'!B111</f>
        <v>Asistencial  19</v>
      </c>
    </row>
    <row r="139" spans="2:2" hidden="1">
      <c r="B139" s="48" t="str">
        <f>+'Salarios de Ref'!B112</f>
        <v>Asistencial  20</v>
      </c>
    </row>
    <row r="140" spans="2:2" hidden="1">
      <c r="B140" s="48" t="str">
        <f>+'Salarios de Ref'!B113</f>
        <v>Asistencial  21</v>
      </c>
    </row>
    <row r="141" spans="2:2" hidden="1">
      <c r="B141" s="48" t="str">
        <f>+'Salarios de Ref'!B114</f>
        <v>Asistencial  22</v>
      </c>
    </row>
    <row r="142" spans="2:2" hidden="1">
      <c r="B142" s="48" t="str">
        <f>+'Salarios de Ref'!B115</f>
        <v>Asistencial  23</v>
      </c>
    </row>
    <row r="143" spans="2:2" hidden="1">
      <c r="B143" s="48" t="str">
        <f>+'Salarios de Ref'!B116</f>
        <v>Asistencial  24</v>
      </c>
    </row>
    <row r="144" spans="2:2" hidden="1">
      <c r="B144" s="48" t="str">
        <f>+'Salarios de Ref'!B117</f>
        <v>Asistencial  25</v>
      </c>
    </row>
    <row r="145" spans="2:2" hidden="1">
      <c r="B145" s="48" t="str">
        <f>+'Salarios de Ref'!B118</f>
        <v>Asistencial  26</v>
      </c>
    </row>
    <row r="146" spans="2:2" hidden="1">
      <c r="B146" s="48" t="str">
        <f>+'Salarios de Ref'!B119</f>
        <v>SMMLV</v>
      </c>
    </row>
  </sheetData>
  <sheetProtection password="CC59" sheet="1" objects="1" scenarios="1"/>
  <mergeCells count="4">
    <mergeCell ref="C4:C5"/>
    <mergeCell ref="AH4:AJ4"/>
    <mergeCell ref="AH13:AJ14"/>
    <mergeCell ref="AH17:AJ18"/>
  </mergeCells>
  <dataValidations count="2">
    <dataValidation type="list" allowBlank="1" showInputMessage="1" showErrorMessage="1" sqref="C6:C21">
      <formula1>$B$33:$B$146</formula1>
    </dataValidation>
    <dataValidation type="list" allowBlank="1" showInputMessage="1" showErrorMessage="1" sqref="C31:C41">
      <formula1>perfil</formula1>
    </dataValidation>
  </dataValidations>
  <hyperlinks>
    <hyperlink ref="B1" location="'Hoja índice'!A1" display="Indice"/>
  </hyperlinks>
  <printOptions horizontalCentered="1" verticalCentered="1"/>
  <pageMargins left="0.31496062992125984" right="0.31496062992125984" top="0.55118110236220474" bottom="0.35433070866141736" header="0.31496062992125984" footer="0.31496062992125984"/>
  <pageSetup paperSize="9" scale="80" orientation="landscape" r:id="rId1"/>
  <ignoredErrors>
    <ignoredError sqref="K6:K21" formula="1"/>
  </ignoredErrors>
  <drawing r:id="rId2"/>
  <legacyDrawing r:id="rId3"/>
</worksheet>
</file>

<file path=xl/worksheets/sheet5.xml><?xml version="1.0" encoding="utf-8"?>
<worksheet xmlns="http://schemas.openxmlformats.org/spreadsheetml/2006/main" xmlns:r="http://schemas.openxmlformats.org/officeDocument/2006/relationships">
  <sheetPr codeName="Hoja5">
    <tabColor theme="4"/>
    <outlinePr applyStyles="1" summaryBelow="0"/>
  </sheetPr>
  <dimension ref="A1:AL1317"/>
  <sheetViews>
    <sheetView showGridLines="0" zoomScaleNormal="100" zoomScaleSheetLayoutView="100" workbookViewId="0">
      <pane ySplit="1" topLeftCell="A2" activePane="bottomLeft" state="frozen"/>
      <selection activeCell="F1" sqref="F1"/>
      <selection pane="bottomLeft"/>
    </sheetView>
  </sheetViews>
  <sheetFormatPr baseColWidth="10" defaultRowHeight="13.5" outlineLevelRow="1"/>
  <cols>
    <col min="1" max="1" width="6.140625" style="1152" customWidth="1"/>
    <col min="2" max="2" width="7" style="493" bestFit="1" customWidth="1"/>
    <col min="3" max="3" width="18.42578125" style="493" customWidth="1"/>
    <col min="4" max="4" width="8.5703125" style="493" bestFit="1" customWidth="1"/>
    <col min="5" max="5" width="27" style="494" customWidth="1"/>
    <col min="6" max="6" width="9.42578125" style="493" bestFit="1" customWidth="1"/>
    <col min="7" max="7" width="12.5703125" style="495" hidden="1" customWidth="1"/>
    <col min="8" max="8" width="10.42578125" style="511" customWidth="1"/>
    <col min="9" max="9" width="26.7109375" style="511" hidden="1" customWidth="1"/>
    <col min="10" max="11" width="13.85546875" style="511" hidden="1" customWidth="1"/>
    <col min="12" max="12" width="9.5703125" style="511" hidden="1" customWidth="1"/>
    <col min="13" max="13" width="8.140625" style="495" bestFit="1" customWidth="1"/>
    <col min="14" max="14" width="11" style="495" customWidth="1"/>
    <col min="15" max="17" width="12.85546875" style="495" customWidth="1"/>
    <col min="18" max="18" width="10.7109375" style="495" bestFit="1" customWidth="1"/>
    <col min="19" max="19" width="12.42578125" style="496" customWidth="1"/>
    <col min="20" max="20" width="12.85546875" style="496" customWidth="1"/>
    <col min="21" max="21" width="13.5703125" style="496" customWidth="1"/>
    <col min="22" max="22" width="12.85546875" style="496" customWidth="1"/>
    <col min="23" max="23" width="16.7109375" style="496" customWidth="1"/>
    <col min="24" max="24" width="13.28515625" style="496" customWidth="1"/>
    <col min="25" max="25" width="12.85546875" style="496" customWidth="1"/>
    <col min="26" max="26" width="15.140625" style="496" customWidth="1"/>
    <col min="27" max="27" width="12" style="496" customWidth="1"/>
    <col min="28" max="28" width="14" style="496" customWidth="1"/>
    <col min="29" max="29" width="14.7109375" style="496" bestFit="1" customWidth="1"/>
    <col min="30" max="30" width="13.42578125" style="496" bestFit="1" customWidth="1"/>
    <col min="31" max="31" width="15.85546875" style="496" bestFit="1" customWidth="1"/>
    <col min="32" max="32" width="17.28515625" style="496" customWidth="1"/>
    <col min="33" max="33" width="16.28515625" style="496" customWidth="1"/>
    <col min="34" max="34" width="12" style="496" bestFit="1" customWidth="1"/>
    <col min="35" max="35" width="11.140625" style="497" bestFit="1" customWidth="1"/>
    <col min="36" max="36" width="13" style="496" bestFit="1" customWidth="1"/>
    <col min="37" max="37" width="14.140625" style="492" bestFit="1" customWidth="1"/>
    <col min="38" max="38" width="11.7109375" style="492" bestFit="1" customWidth="1"/>
    <col min="39" max="16384" width="11.42578125" style="493"/>
  </cols>
  <sheetData>
    <row r="1" spans="1:38" s="33" customFormat="1" ht="39" thickBot="1">
      <c r="A1" s="4" t="s">
        <v>2343</v>
      </c>
      <c r="B1" s="1107" t="s">
        <v>1346</v>
      </c>
      <c r="C1" s="814" t="s">
        <v>1348</v>
      </c>
      <c r="D1" s="814" t="s">
        <v>1347</v>
      </c>
      <c r="E1" s="1108" t="s">
        <v>2382</v>
      </c>
      <c r="F1" s="1100" t="s">
        <v>1349</v>
      </c>
      <c r="G1" s="814" t="s">
        <v>1363</v>
      </c>
      <c r="H1" s="814" t="s">
        <v>1350</v>
      </c>
      <c r="I1" s="1082" t="s">
        <v>2384</v>
      </c>
      <c r="J1" s="1082" t="s">
        <v>2405</v>
      </c>
      <c r="K1" s="814" t="s">
        <v>2406</v>
      </c>
      <c r="L1" s="814" t="s">
        <v>2407</v>
      </c>
      <c r="M1" s="814" t="s">
        <v>37</v>
      </c>
      <c r="N1" s="814" t="str">
        <f>+'Componentes T.H.'!B6</f>
        <v xml:space="preserve">Coordinador General </v>
      </c>
      <c r="O1" s="814" t="str">
        <f>+'Componentes T.H.'!B7</f>
        <v xml:space="preserve">Coordinador de Garantia de Derechos </v>
      </c>
      <c r="P1" s="814" t="str">
        <f>+'Componentes T.H.'!B10</f>
        <v xml:space="preserve">Gestor Administrativo </v>
      </c>
      <c r="Q1" s="814" t="str">
        <f>+'Componentes T.H.'!B8</f>
        <v>Coordinador Metodológico</v>
      </c>
      <c r="R1" s="814" t="s">
        <v>1214</v>
      </c>
      <c r="S1" s="815" t="str">
        <f>+N1</f>
        <v xml:space="preserve">Coordinador General </v>
      </c>
      <c r="T1" s="815" t="str">
        <f>+O1</f>
        <v xml:space="preserve">Coordinador de Garantia de Derechos </v>
      </c>
      <c r="U1" s="815" t="str">
        <f>+P1</f>
        <v xml:space="preserve">Gestor Administrativo </v>
      </c>
      <c r="V1" s="815" t="str">
        <f>+Q1</f>
        <v>Coordinador Metodológico</v>
      </c>
      <c r="W1" s="815" t="str">
        <f>+R1</f>
        <v>Promotor de Derechos</v>
      </c>
      <c r="X1" s="815" t="s">
        <v>38</v>
      </c>
      <c r="Y1" s="815" t="s">
        <v>39</v>
      </c>
      <c r="Z1" s="815" t="s">
        <v>40</v>
      </c>
      <c r="AA1" s="815" t="s">
        <v>41</v>
      </c>
      <c r="AB1" s="815" t="s">
        <v>42</v>
      </c>
      <c r="AC1" s="815" t="s">
        <v>43</v>
      </c>
      <c r="AD1" s="815" t="s">
        <v>44</v>
      </c>
      <c r="AE1" s="815" t="s">
        <v>45</v>
      </c>
      <c r="AF1" s="815" t="s">
        <v>1598</v>
      </c>
      <c r="AG1" s="815" t="s">
        <v>2413</v>
      </c>
      <c r="AH1" s="815" t="s">
        <v>1367</v>
      </c>
      <c r="AI1" s="815" t="s">
        <v>1341</v>
      </c>
      <c r="AJ1" s="815" t="s">
        <v>1343</v>
      </c>
      <c r="AK1" s="815" t="s">
        <v>1344</v>
      </c>
      <c r="AL1" s="816" t="s">
        <v>1599</v>
      </c>
    </row>
    <row r="2" spans="1:38" s="392" customFormat="1" collapsed="1">
      <c r="A2" s="1151">
        <v>1</v>
      </c>
      <c r="B2" s="817">
        <v>5</v>
      </c>
      <c r="C2" s="808" t="s">
        <v>46</v>
      </c>
      <c r="D2" s="809"/>
      <c r="E2" s="1109" t="s">
        <v>46</v>
      </c>
      <c r="F2" s="1101">
        <f>+SUM(F3:F102)</f>
        <v>66</v>
      </c>
      <c r="G2" s="811">
        <f>+SUM(G3:G68)</f>
        <v>16434</v>
      </c>
      <c r="H2" s="1088">
        <f>+SUM(H3:H102)</f>
        <v>15600</v>
      </c>
      <c r="I2" s="1057" t="s">
        <v>46</v>
      </c>
      <c r="J2" s="1067">
        <v>15600</v>
      </c>
      <c r="K2" s="1069" t="str">
        <f t="shared" ref="K2:K65" si="0">+IF(I2=E2,"Ok","Rev")</f>
        <v>Ok</v>
      </c>
      <c r="L2" s="1077">
        <f t="shared" ref="L2:L65" si="1">+J2-H2</f>
        <v>0</v>
      </c>
      <c r="M2" s="1088">
        <f>+SUM(M3:M102)</f>
        <v>624</v>
      </c>
      <c r="N2" s="1095">
        <f>+VLOOKUP(H2,'Parametros Generales'!$B$14:$D$17,3,TRUE)</f>
        <v>1</v>
      </c>
      <c r="O2" s="1095">
        <f>+VLOOKUP(H2,'Parametros Generales'!$B$14:$D$17,3,TRUE)</f>
        <v>1</v>
      </c>
      <c r="P2" s="1095">
        <f>+VLOOKUP(H2,'Parametros Generales'!$B$14:$D$17,3,TRUE)</f>
        <v>1</v>
      </c>
      <c r="Q2" s="1095">
        <f>+R2/'Parametros Generales'!$C$10</f>
        <v>19.5</v>
      </c>
      <c r="R2" s="1088">
        <f>+SUM(R3:R102)</f>
        <v>156</v>
      </c>
      <c r="S2" s="393">
        <f>+VLOOKUP(S$1,'Componentes T.H.'!$B$4:$R$22,'Componentes T.H.'!$Q$1,0)*'Parametros Generales'!$C$6*'Cost x Depart'!N2</f>
        <v>14656764.137666669</v>
      </c>
      <c r="T2" s="393">
        <f>+VLOOKUP(T$1,'Componentes T.H.'!$B$4:$R$22,'Componentes T.H.'!$Q$1,0)*'Parametros Generales'!$C$6*'Cost x Depart'!O2</f>
        <v>11043815.659</v>
      </c>
      <c r="U2" s="393">
        <f>+VLOOKUP(U$1,'Componentes T.H.'!$B$4:$R$22,'Componentes T.H.'!$Q$1,0)*'Parametros Generales'!$C$6*'Cost x Depart'!P2</f>
        <v>4890432</v>
      </c>
      <c r="V2" s="394">
        <f>+VLOOKUP(V$1,'Componentes T.H.'!$B$4:$R$22,'Componentes T.H.'!$Q$1,0)*'Parametros Generales'!$C$6*'Cost x Depart'!Q2</f>
        <v>194825426.91949999</v>
      </c>
      <c r="W2" s="1088">
        <f t="shared" ref="W2:X2" si="2">+SUM(W3:W102)</f>
        <v>782887103.0759995</v>
      </c>
      <c r="X2" s="1088">
        <f t="shared" si="2"/>
        <v>175525450.08541101</v>
      </c>
      <c r="Y2" s="812">
        <f>+VLOOKUP(C3,'Transporte y Viaticos'!$B$87:$F$120,2,0)*((O2/'Parametros Generales'!$J$14)+(Q2/'Parametros Generales'!$J$15)+(R2/'Parametros Generales'!$J$16))*'Parametros Generales'!$C$6</f>
        <v>8312142.7083716355</v>
      </c>
      <c r="Z2" s="812">
        <f>+(N2+O2+Q2)*'Parametros Generales'!$C$6*'Parametros Generales'!$J$7</f>
        <v>4227330</v>
      </c>
      <c r="AA2" s="812">
        <f>+SUM(N2:R2)*'Parametros Generales'!$C$6*'Parametros Generales'!$J$8</f>
        <v>32040750</v>
      </c>
      <c r="AB2" s="1088">
        <f t="shared" ref="AB2:AC2" si="3">+SUM(AB3:AB102)</f>
        <v>303831272.72727269</v>
      </c>
      <c r="AC2" s="1088">
        <f t="shared" si="3"/>
        <v>1149602903.8573258</v>
      </c>
      <c r="AD2" s="812">
        <f>+'Parametros Generales'!$J$11*SUM(N2:R2)</f>
        <v>6004740</v>
      </c>
      <c r="AE2" s="812">
        <f>+SUM(S2:AD2)</f>
        <v>2687848131.1705475</v>
      </c>
      <c r="AF2" s="812">
        <f>+AE2*(SUM('Res de Costos Pais'!G117:G117))</f>
        <v>184117596.98518252</v>
      </c>
      <c r="AG2" s="812">
        <f>+AE2+AF2</f>
        <v>2871965728.1557302</v>
      </c>
      <c r="AH2" s="812">
        <f>+AG2*SUM('Res de Costos Pais'!$G$123:$G$124)</f>
        <v>27743188.933984354</v>
      </c>
      <c r="AI2" s="812">
        <f>+(AG2+AH2)*'Res de Costos Pais'!$G$136</f>
        <v>7829214.0761422301</v>
      </c>
      <c r="AJ2" s="812">
        <f>+(AG2+AH2+AI2)*'Res de Costos Pais'!$G$140</f>
        <v>11630152.524663428</v>
      </c>
      <c r="AK2" s="812">
        <f>+AG2+AH2+AI2+AJ2</f>
        <v>2919168283.6905203</v>
      </c>
      <c r="AL2" s="818">
        <f>IF(ISERROR((+(AK2/H2)/'Parametros Generales'!$C$6)),0,(+(AK2/H2)/'Parametros Generales'!$C$6))</f>
        <v>37425.23440628872</v>
      </c>
    </row>
    <row r="3" spans="1:38" s="33" customFormat="1" hidden="1" outlineLevel="1">
      <c r="A3" s="1150"/>
      <c r="B3" s="819">
        <v>5</v>
      </c>
      <c r="C3" s="377" t="s">
        <v>47</v>
      </c>
      <c r="D3" s="378">
        <v>5001</v>
      </c>
      <c r="E3" s="1110" t="s">
        <v>1601</v>
      </c>
      <c r="F3" s="1102">
        <v>1</v>
      </c>
      <c r="G3" s="379">
        <v>3366</v>
      </c>
      <c r="H3" s="1060">
        <f>CEILING((G3-375),'Parametros Generales'!$C$8)</f>
        <v>3000</v>
      </c>
      <c r="I3" s="1057" t="s">
        <v>48</v>
      </c>
      <c r="J3" s="1058">
        <v>3000</v>
      </c>
      <c r="K3" s="1070" t="str">
        <f t="shared" si="0"/>
        <v>Ok</v>
      </c>
      <c r="L3" s="1077">
        <f t="shared" si="1"/>
        <v>0</v>
      </c>
      <c r="M3" s="1089">
        <f>+H3/'Parametros Generales'!$C$8</f>
        <v>120</v>
      </c>
      <c r="N3" s="1096"/>
      <c r="O3" s="1096"/>
      <c r="P3" s="1096"/>
      <c r="Q3" s="1096"/>
      <c r="R3" s="1096">
        <f>+(M3/'Parametros Generales'!$C$9)</f>
        <v>30</v>
      </c>
      <c r="S3" s="393"/>
      <c r="T3" s="393"/>
      <c r="U3" s="393"/>
      <c r="V3" s="394"/>
      <c r="W3" s="380">
        <f>+R3*'Componentes T.H.'!$Q$9*'Parametros Generales'!$C$6</f>
        <v>150555212.13</v>
      </c>
      <c r="X3" s="380">
        <f>(+VLOOKUP(C3,'Transporte y Viaticos'!$B$87:$L$120,2,0)*'Parametros Generales'!$C$7*R3)*(2/3)</f>
        <v>33754894.247194462</v>
      </c>
      <c r="Y3" s="391"/>
      <c r="Z3" s="417"/>
      <c r="AA3" s="417"/>
      <c r="AB3" s="417">
        <f>+M3*'Parametros Generales'!$C$6*'Parametros Generales'!$J$9</f>
        <v>58429090.909090921</v>
      </c>
      <c r="AC3" s="417">
        <f>+H3*'Parametros Generales'!$J$10*'Parametros Generales'!$C$6*'Parametros Generales'!$C$11</f>
        <v>221077481.51102442</v>
      </c>
      <c r="AD3" s="417"/>
      <c r="AE3" s="417"/>
      <c r="AF3" s="417"/>
      <c r="AG3" s="417"/>
      <c r="AH3" s="417"/>
      <c r="AI3" s="417"/>
      <c r="AJ3" s="417"/>
      <c r="AK3" s="391"/>
      <c r="AL3" s="820"/>
    </row>
    <row r="4" spans="1:38" s="33" customFormat="1" hidden="1" outlineLevel="1">
      <c r="A4" s="1150"/>
      <c r="B4" s="821">
        <v>5</v>
      </c>
      <c r="C4" s="371" t="s">
        <v>47</v>
      </c>
      <c r="D4" s="31">
        <v>5030</v>
      </c>
      <c r="E4" s="1111" t="s">
        <v>1602</v>
      </c>
      <c r="F4" s="1103">
        <v>1</v>
      </c>
      <c r="G4" s="30">
        <v>198</v>
      </c>
      <c r="H4" s="1061">
        <f>CEILING((G4-100),'Parametros Generales'!$C$8)</f>
        <v>100</v>
      </c>
      <c r="I4" s="1057" t="s">
        <v>49</v>
      </c>
      <c r="J4" s="1058">
        <v>100</v>
      </c>
      <c r="K4" s="1070" t="str">
        <f t="shared" si="0"/>
        <v>Ok</v>
      </c>
      <c r="L4" s="1077">
        <f t="shared" si="1"/>
        <v>0</v>
      </c>
      <c r="M4" s="1090">
        <f>+H4/'Parametros Generales'!$C$8</f>
        <v>4</v>
      </c>
      <c r="N4" s="1097"/>
      <c r="O4" s="1097"/>
      <c r="P4" s="1097"/>
      <c r="Q4" s="1097"/>
      <c r="R4" s="1097">
        <f>+(M4/'Parametros Generales'!$C$9)</f>
        <v>1</v>
      </c>
      <c r="S4" s="390"/>
      <c r="T4" s="390"/>
      <c r="U4" s="390"/>
      <c r="V4" s="389"/>
      <c r="W4" s="32">
        <f>+R4*'Componentes T.H.'!$Q$9*'Parametros Generales'!$C$6</f>
        <v>5018507.0710000005</v>
      </c>
      <c r="X4" s="32">
        <f>(+VLOOKUP(C4,'Transporte y Viaticos'!$B$87:$L$120,2,0)*'Parametros Generales'!$C$7*R4)*(2/3)</f>
        <v>1125163.1415731488</v>
      </c>
      <c r="Y4" s="417"/>
      <c r="Z4" s="417"/>
      <c r="AA4" s="417"/>
      <c r="AB4" s="417">
        <f>+M4*'Parametros Generales'!$C$6*'Parametros Generales'!$J$9</f>
        <v>1947636.3636363642</v>
      </c>
      <c r="AC4" s="417">
        <f>+H4*'Parametros Generales'!$J$10*'Parametros Generales'!$C$6*'Parametros Generales'!$C$11</f>
        <v>7369249.3837008122</v>
      </c>
      <c r="AD4" s="417"/>
      <c r="AE4" s="417"/>
      <c r="AF4" s="417"/>
      <c r="AG4" s="417"/>
      <c r="AH4" s="417"/>
      <c r="AI4" s="417"/>
      <c r="AJ4" s="417"/>
      <c r="AK4" s="391"/>
      <c r="AL4" s="820"/>
    </row>
    <row r="5" spans="1:38" s="33" customFormat="1" hidden="1" outlineLevel="1">
      <c r="A5" s="1150"/>
      <c r="B5" s="821">
        <v>5</v>
      </c>
      <c r="C5" s="371" t="s">
        <v>47</v>
      </c>
      <c r="D5" s="31">
        <v>5031</v>
      </c>
      <c r="E5" s="1111" t="s">
        <v>1603</v>
      </c>
      <c r="F5" s="1103">
        <v>1</v>
      </c>
      <c r="G5" s="30">
        <v>198</v>
      </c>
      <c r="H5" s="1061">
        <f>CEILING(G5,'Parametros Generales'!$C$8)</f>
        <v>200</v>
      </c>
      <c r="I5" s="1057" t="s">
        <v>50</v>
      </c>
      <c r="J5" s="1058">
        <v>200</v>
      </c>
      <c r="K5" s="1070" t="str">
        <f t="shared" si="0"/>
        <v>Ok</v>
      </c>
      <c r="L5" s="1077">
        <f t="shared" si="1"/>
        <v>0</v>
      </c>
      <c r="M5" s="1090">
        <f>+H5/'Parametros Generales'!$C$8</f>
        <v>8</v>
      </c>
      <c r="N5" s="1097"/>
      <c r="O5" s="1097"/>
      <c r="P5" s="1097"/>
      <c r="Q5" s="1097"/>
      <c r="R5" s="1097">
        <f>+(M5/'Parametros Generales'!$C$9)</f>
        <v>2</v>
      </c>
      <c r="S5" s="390"/>
      <c r="T5" s="390"/>
      <c r="U5" s="390"/>
      <c r="V5" s="389"/>
      <c r="W5" s="32">
        <f>+R5*'Componentes T.H.'!$Q$9*'Parametros Generales'!$C$6</f>
        <v>10037014.142000001</v>
      </c>
      <c r="X5" s="32">
        <f>(+VLOOKUP(C5,'Transporte y Viaticos'!$B$87:$L$120,2,0)*'Parametros Generales'!$C$7*R5)*(2/3)</f>
        <v>2250326.2831462976</v>
      </c>
      <c r="Y5" s="417"/>
      <c r="Z5" s="417"/>
      <c r="AA5" s="417"/>
      <c r="AB5" s="417">
        <f>+M5*'Parametros Generales'!$C$6*'Parametros Generales'!$J$9</f>
        <v>3895272.7272727285</v>
      </c>
      <c r="AC5" s="417">
        <f>+H5*'Parametros Generales'!$J$10*'Parametros Generales'!$C$6*'Parametros Generales'!$C$11</f>
        <v>14738498.767401624</v>
      </c>
      <c r="AD5" s="417"/>
      <c r="AE5" s="417"/>
      <c r="AF5" s="417"/>
      <c r="AG5" s="417"/>
      <c r="AH5" s="417"/>
      <c r="AI5" s="417"/>
      <c r="AJ5" s="417"/>
      <c r="AK5" s="391"/>
      <c r="AL5" s="820"/>
    </row>
    <row r="6" spans="1:38" s="33" customFormat="1" hidden="1" outlineLevel="1">
      <c r="A6" s="1150"/>
      <c r="B6" s="821">
        <v>5</v>
      </c>
      <c r="C6" s="371" t="s">
        <v>47</v>
      </c>
      <c r="D6" s="31">
        <v>5034</v>
      </c>
      <c r="E6" s="1111" t="s">
        <v>1604</v>
      </c>
      <c r="F6" s="1103">
        <v>1</v>
      </c>
      <c r="G6" s="30">
        <v>198</v>
      </c>
      <c r="H6" s="1061">
        <f>CEILING(G6,'Parametros Generales'!$C$8)</f>
        <v>200</v>
      </c>
      <c r="I6" s="1057" t="s">
        <v>51</v>
      </c>
      <c r="J6" s="1058">
        <v>200</v>
      </c>
      <c r="K6" s="1070" t="str">
        <f t="shared" si="0"/>
        <v>Ok</v>
      </c>
      <c r="L6" s="1077">
        <f t="shared" si="1"/>
        <v>0</v>
      </c>
      <c r="M6" s="1090">
        <f>+H6/'Parametros Generales'!$C$8</f>
        <v>8</v>
      </c>
      <c r="N6" s="1097"/>
      <c r="O6" s="1097"/>
      <c r="P6" s="1097"/>
      <c r="Q6" s="1097"/>
      <c r="R6" s="1097">
        <f>+(M6/'Parametros Generales'!$C$9)</f>
        <v>2</v>
      </c>
      <c r="S6" s="390"/>
      <c r="T6" s="390"/>
      <c r="U6" s="390"/>
      <c r="V6" s="389"/>
      <c r="W6" s="32">
        <f>+R6*'Componentes T.H.'!$Q$9*'Parametros Generales'!$C$6</f>
        <v>10037014.142000001</v>
      </c>
      <c r="X6" s="32">
        <f>(+VLOOKUP(C6,'Transporte y Viaticos'!$B$87:$L$120,2,0)*'Parametros Generales'!$C$7*R6)*(2/3)</f>
        <v>2250326.2831462976</v>
      </c>
      <c r="Y6" s="417"/>
      <c r="Z6" s="417"/>
      <c r="AA6" s="417"/>
      <c r="AB6" s="417">
        <f>+M6*'Parametros Generales'!$C$6*'Parametros Generales'!$J$9</f>
        <v>3895272.7272727285</v>
      </c>
      <c r="AC6" s="417">
        <f>+H6*'Parametros Generales'!$J$10*'Parametros Generales'!$C$6*'Parametros Generales'!$C$11</f>
        <v>14738498.767401624</v>
      </c>
      <c r="AD6" s="417"/>
      <c r="AE6" s="417"/>
      <c r="AF6" s="417"/>
      <c r="AG6" s="417"/>
      <c r="AH6" s="417"/>
      <c r="AI6" s="417"/>
      <c r="AJ6" s="417"/>
      <c r="AK6" s="391"/>
      <c r="AL6" s="820"/>
    </row>
    <row r="7" spans="1:38" s="33" customFormat="1" hidden="1" outlineLevel="1">
      <c r="A7" s="1150"/>
      <c r="B7" s="821">
        <v>5</v>
      </c>
      <c r="C7" s="371" t="s">
        <v>47</v>
      </c>
      <c r="D7" s="31">
        <v>5040</v>
      </c>
      <c r="E7" s="1111" t="s">
        <v>1605</v>
      </c>
      <c r="F7" s="1103">
        <v>1</v>
      </c>
      <c r="G7" s="30">
        <v>198</v>
      </c>
      <c r="H7" s="1061">
        <f>CEILING(G7,'Parametros Generales'!$C$8)</f>
        <v>200</v>
      </c>
      <c r="I7" s="1057" t="s">
        <v>52</v>
      </c>
      <c r="J7" s="1058">
        <v>200</v>
      </c>
      <c r="K7" s="1070" t="str">
        <f t="shared" si="0"/>
        <v>Ok</v>
      </c>
      <c r="L7" s="1077">
        <f t="shared" si="1"/>
        <v>0</v>
      </c>
      <c r="M7" s="1090">
        <f>+H7/'Parametros Generales'!$C$8</f>
        <v>8</v>
      </c>
      <c r="N7" s="1097"/>
      <c r="O7" s="1097"/>
      <c r="P7" s="1097"/>
      <c r="Q7" s="1097"/>
      <c r="R7" s="1097">
        <f>+(M7/'Parametros Generales'!$C$9)</f>
        <v>2</v>
      </c>
      <c r="S7" s="390"/>
      <c r="T7" s="390"/>
      <c r="U7" s="390"/>
      <c r="V7" s="389"/>
      <c r="W7" s="32">
        <f>+R7*'Componentes T.H.'!$Q$9*'Parametros Generales'!$C$6</f>
        <v>10037014.142000001</v>
      </c>
      <c r="X7" s="32">
        <f>(+VLOOKUP(C7,'Transporte y Viaticos'!$B$87:$L$120,2,0)*'Parametros Generales'!$C$7*R7)*(2/3)</f>
        <v>2250326.2831462976</v>
      </c>
      <c r="Y7" s="417"/>
      <c r="Z7" s="417"/>
      <c r="AA7" s="417"/>
      <c r="AB7" s="417">
        <f>+M7*'Parametros Generales'!$C$6*'Parametros Generales'!$J$9</f>
        <v>3895272.7272727285</v>
      </c>
      <c r="AC7" s="417">
        <f>+H7*'Parametros Generales'!$J$10*'Parametros Generales'!$C$6*'Parametros Generales'!$C$11</f>
        <v>14738498.767401624</v>
      </c>
      <c r="AD7" s="417"/>
      <c r="AE7" s="417"/>
      <c r="AF7" s="417"/>
      <c r="AG7" s="417"/>
      <c r="AH7" s="417"/>
      <c r="AI7" s="417"/>
      <c r="AJ7" s="417"/>
      <c r="AK7" s="391"/>
      <c r="AL7" s="820"/>
    </row>
    <row r="8" spans="1:38" s="33" customFormat="1" hidden="1" outlineLevel="1">
      <c r="A8" s="1150"/>
      <c r="B8" s="821">
        <v>5</v>
      </c>
      <c r="C8" s="371" t="s">
        <v>47</v>
      </c>
      <c r="D8" s="31">
        <v>5045</v>
      </c>
      <c r="E8" s="1111" t="s">
        <v>1606</v>
      </c>
      <c r="F8" s="1103">
        <v>1</v>
      </c>
      <c r="G8" s="30">
        <v>396</v>
      </c>
      <c r="H8" s="1061">
        <f>CEILING(G8,'Parametros Generales'!$C$8)</f>
        <v>400</v>
      </c>
      <c r="I8" s="1057" t="s">
        <v>53</v>
      </c>
      <c r="J8" s="1058">
        <v>400</v>
      </c>
      <c r="K8" s="1070" t="str">
        <f t="shared" si="0"/>
        <v>Ok</v>
      </c>
      <c r="L8" s="1077">
        <f t="shared" si="1"/>
        <v>0</v>
      </c>
      <c r="M8" s="1090">
        <f>+H8/'Parametros Generales'!$C$8</f>
        <v>16</v>
      </c>
      <c r="N8" s="1097"/>
      <c r="O8" s="1097"/>
      <c r="P8" s="1097"/>
      <c r="Q8" s="1097"/>
      <c r="R8" s="1097">
        <f>+(M8/'Parametros Generales'!$C$9)</f>
        <v>4</v>
      </c>
      <c r="S8" s="390"/>
      <c r="T8" s="390"/>
      <c r="U8" s="390"/>
      <c r="V8" s="389"/>
      <c r="W8" s="32">
        <f>+R8*'Componentes T.H.'!$Q$9*'Parametros Generales'!$C$6</f>
        <v>20074028.284000002</v>
      </c>
      <c r="X8" s="32">
        <f>(+VLOOKUP(C8,'Transporte y Viaticos'!$B$87:$L$120,2,0)*'Parametros Generales'!$C$7*R8)*(2/3)</f>
        <v>4500652.5662925951</v>
      </c>
      <c r="Y8" s="417"/>
      <c r="Z8" s="417"/>
      <c r="AA8" s="417"/>
      <c r="AB8" s="417">
        <f>+M8*'Parametros Generales'!$C$6*'Parametros Generales'!$J$9</f>
        <v>7790545.4545454569</v>
      </c>
      <c r="AC8" s="417">
        <f>+H8*'Parametros Generales'!$J$10*'Parametros Generales'!$C$6*'Parametros Generales'!$C$11</f>
        <v>29476997.534803249</v>
      </c>
      <c r="AD8" s="417"/>
      <c r="AE8" s="417"/>
      <c r="AF8" s="417"/>
      <c r="AG8" s="417"/>
      <c r="AH8" s="417"/>
      <c r="AI8" s="417"/>
      <c r="AJ8" s="417"/>
      <c r="AK8" s="391"/>
      <c r="AL8" s="820"/>
    </row>
    <row r="9" spans="1:38" s="33" customFormat="1" hidden="1" outlineLevel="1">
      <c r="A9" s="1150"/>
      <c r="B9" s="821">
        <v>5</v>
      </c>
      <c r="C9" s="371" t="s">
        <v>47</v>
      </c>
      <c r="D9" s="31">
        <v>5051</v>
      </c>
      <c r="E9" s="1111" t="s">
        <v>1607</v>
      </c>
      <c r="F9" s="1103">
        <v>1</v>
      </c>
      <c r="G9" s="30">
        <v>198</v>
      </c>
      <c r="H9" s="1061">
        <f>CEILING(G9,'Parametros Generales'!$C$8)</f>
        <v>200</v>
      </c>
      <c r="I9" s="1057" t="s">
        <v>54</v>
      </c>
      <c r="J9" s="1058">
        <v>200</v>
      </c>
      <c r="K9" s="1070" t="str">
        <f t="shared" si="0"/>
        <v>Ok</v>
      </c>
      <c r="L9" s="1077">
        <f t="shared" si="1"/>
        <v>0</v>
      </c>
      <c r="M9" s="1090">
        <f>+H9/'Parametros Generales'!$C$8</f>
        <v>8</v>
      </c>
      <c r="N9" s="1097"/>
      <c r="O9" s="1097"/>
      <c r="P9" s="1097"/>
      <c r="Q9" s="1097"/>
      <c r="R9" s="1097">
        <f>+(M9/'Parametros Generales'!$C$9)</f>
        <v>2</v>
      </c>
      <c r="S9" s="390"/>
      <c r="T9" s="390"/>
      <c r="U9" s="390"/>
      <c r="V9" s="389"/>
      <c r="W9" s="32">
        <f>+R9*'Componentes T.H.'!$Q$9*'Parametros Generales'!$C$6</f>
        <v>10037014.142000001</v>
      </c>
      <c r="X9" s="32">
        <f>(+VLOOKUP(C9,'Transporte y Viaticos'!$B$87:$L$120,2,0)*'Parametros Generales'!$C$7*R9)*(2/3)</f>
        <v>2250326.2831462976</v>
      </c>
      <c r="Y9" s="417"/>
      <c r="Z9" s="417"/>
      <c r="AA9" s="417"/>
      <c r="AB9" s="417">
        <f>+M9*'Parametros Generales'!$C$6*'Parametros Generales'!$J$9</f>
        <v>3895272.7272727285</v>
      </c>
      <c r="AC9" s="417">
        <f>+H9*'Parametros Generales'!$J$10*'Parametros Generales'!$C$6*'Parametros Generales'!$C$11</f>
        <v>14738498.767401624</v>
      </c>
      <c r="AD9" s="417"/>
      <c r="AE9" s="417"/>
      <c r="AF9" s="417"/>
      <c r="AG9" s="417"/>
      <c r="AH9" s="417"/>
      <c r="AI9" s="417"/>
      <c r="AJ9" s="417"/>
      <c r="AK9" s="391"/>
      <c r="AL9" s="820"/>
    </row>
    <row r="10" spans="1:38" s="33" customFormat="1" hidden="1" outlineLevel="1">
      <c r="A10" s="1150"/>
      <c r="B10" s="821">
        <v>5</v>
      </c>
      <c r="C10" s="371" t="s">
        <v>47</v>
      </c>
      <c r="D10" s="31">
        <v>5079</v>
      </c>
      <c r="E10" s="1111" t="s">
        <v>1608</v>
      </c>
      <c r="F10" s="1103">
        <v>1</v>
      </c>
      <c r="G10" s="30">
        <v>198</v>
      </c>
      <c r="H10" s="1061">
        <f>CEILING(G10,'Parametros Generales'!$C$8)</f>
        <v>200</v>
      </c>
      <c r="I10" s="1057" t="s">
        <v>55</v>
      </c>
      <c r="J10" s="1058">
        <v>200</v>
      </c>
      <c r="K10" s="1070" t="str">
        <f t="shared" si="0"/>
        <v>Ok</v>
      </c>
      <c r="L10" s="1077">
        <f t="shared" si="1"/>
        <v>0</v>
      </c>
      <c r="M10" s="1090">
        <f>+H10/'Parametros Generales'!$C$8</f>
        <v>8</v>
      </c>
      <c r="N10" s="1097"/>
      <c r="O10" s="1097"/>
      <c r="P10" s="1097"/>
      <c r="Q10" s="1097"/>
      <c r="R10" s="1097">
        <f>+(M10/'Parametros Generales'!$C$9)</f>
        <v>2</v>
      </c>
      <c r="S10" s="390"/>
      <c r="T10" s="390"/>
      <c r="U10" s="390"/>
      <c r="V10" s="389"/>
      <c r="W10" s="32">
        <f>+R10*'Componentes T.H.'!$Q$9*'Parametros Generales'!$C$6</f>
        <v>10037014.142000001</v>
      </c>
      <c r="X10" s="32">
        <f>(+VLOOKUP(C10,'Transporte y Viaticos'!$B$87:$L$120,2,0)*'Parametros Generales'!$C$7*R10)*(2/3)</f>
        <v>2250326.2831462976</v>
      </c>
      <c r="Y10" s="417"/>
      <c r="Z10" s="417"/>
      <c r="AA10" s="417"/>
      <c r="AB10" s="417">
        <f>+M10*'Parametros Generales'!$C$6*'Parametros Generales'!$J$9</f>
        <v>3895272.7272727285</v>
      </c>
      <c r="AC10" s="417">
        <f>+H10*'Parametros Generales'!$J$10*'Parametros Generales'!$C$6*'Parametros Generales'!$C$11</f>
        <v>14738498.767401624</v>
      </c>
      <c r="AD10" s="417"/>
      <c r="AE10" s="417"/>
      <c r="AF10" s="417"/>
      <c r="AG10" s="417"/>
      <c r="AH10" s="417"/>
      <c r="AI10" s="417"/>
      <c r="AJ10" s="417"/>
      <c r="AK10" s="391"/>
      <c r="AL10" s="820"/>
    </row>
    <row r="11" spans="1:38" s="33" customFormat="1" hidden="1" outlineLevel="1">
      <c r="A11" s="1150"/>
      <c r="B11" s="821">
        <v>5</v>
      </c>
      <c r="C11" s="371" t="s">
        <v>47</v>
      </c>
      <c r="D11" s="31">
        <v>5088</v>
      </c>
      <c r="E11" s="1111" t="s">
        <v>1609</v>
      </c>
      <c r="F11" s="1103">
        <v>1</v>
      </c>
      <c r="G11" s="30">
        <v>198</v>
      </c>
      <c r="H11" s="1061">
        <f>CEILING(G11,'Parametros Generales'!$C$8)</f>
        <v>200</v>
      </c>
      <c r="I11" s="1057" t="s">
        <v>56</v>
      </c>
      <c r="J11" s="1058">
        <v>200</v>
      </c>
      <c r="K11" s="1070" t="str">
        <f t="shared" si="0"/>
        <v>Ok</v>
      </c>
      <c r="L11" s="1077">
        <f t="shared" si="1"/>
        <v>0</v>
      </c>
      <c r="M11" s="1090">
        <f>+H11/'Parametros Generales'!$C$8</f>
        <v>8</v>
      </c>
      <c r="N11" s="1097"/>
      <c r="O11" s="1097"/>
      <c r="P11" s="1097"/>
      <c r="Q11" s="1097"/>
      <c r="R11" s="1097">
        <f>+(M11/'Parametros Generales'!$C$9)</f>
        <v>2</v>
      </c>
      <c r="S11" s="390"/>
      <c r="T11" s="390"/>
      <c r="U11" s="390"/>
      <c r="V11" s="389"/>
      <c r="W11" s="32">
        <f>+R11*'Componentes T.H.'!$Q$9*'Parametros Generales'!$C$6</f>
        <v>10037014.142000001</v>
      </c>
      <c r="X11" s="32">
        <f>(+VLOOKUP(C11,'Transporte y Viaticos'!$B$87:$L$120,2,0)*'Parametros Generales'!$C$7*R11)*(2/3)</f>
        <v>2250326.2831462976</v>
      </c>
      <c r="Y11" s="417"/>
      <c r="Z11" s="417"/>
      <c r="AA11" s="417"/>
      <c r="AB11" s="417">
        <f>+M11*'Parametros Generales'!$C$6*'Parametros Generales'!$J$9</f>
        <v>3895272.7272727285</v>
      </c>
      <c r="AC11" s="417">
        <f>+H11*'Parametros Generales'!$J$10*'Parametros Generales'!$C$6*'Parametros Generales'!$C$11</f>
        <v>14738498.767401624</v>
      </c>
      <c r="AD11" s="417"/>
      <c r="AE11" s="417"/>
      <c r="AF11" s="417"/>
      <c r="AG11" s="417"/>
      <c r="AH11" s="417"/>
      <c r="AI11" s="417"/>
      <c r="AJ11" s="417"/>
      <c r="AK11" s="391"/>
      <c r="AL11" s="820"/>
    </row>
    <row r="12" spans="1:38" s="33" customFormat="1" hidden="1" outlineLevel="1">
      <c r="A12" s="1150"/>
      <c r="B12" s="821">
        <v>5</v>
      </c>
      <c r="C12" s="371" t="s">
        <v>47</v>
      </c>
      <c r="D12" s="31">
        <v>5093</v>
      </c>
      <c r="E12" s="1111" t="s">
        <v>1610</v>
      </c>
      <c r="F12" s="1103">
        <v>1</v>
      </c>
      <c r="G12" s="30">
        <v>198</v>
      </c>
      <c r="H12" s="1061">
        <f>CEILING((G12-50),'Parametros Generales'!$C$8)</f>
        <v>150</v>
      </c>
      <c r="I12" s="1057" t="s">
        <v>57</v>
      </c>
      <c r="J12" s="1058">
        <v>150</v>
      </c>
      <c r="K12" s="1070" t="str">
        <f t="shared" si="0"/>
        <v>Ok</v>
      </c>
      <c r="L12" s="1077">
        <f t="shared" si="1"/>
        <v>0</v>
      </c>
      <c r="M12" s="1090">
        <f>+H12/'Parametros Generales'!$C$8</f>
        <v>6</v>
      </c>
      <c r="N12" s="1097"/>
      <c r="O12" s="1097"/>
      <c r="P12" s="1097"/>
      <c r="Q12" s="1097"/>
      <c r="R12" s="1097">
        <f>+(M12/'Parametros Generales'!$C$9)</f>
        <v>1.5</v>
      </c>
      <c r="S12" s="390"/>
      <c r="T12" s="390"/>
      <c r="U12" s="390"/>
      <c r="V12" s="389"/>
      <c r="W12" s="32">
        <f>+R12*'Componentes T.H.'!$Q$9*'Parametros Generales'!$C$6</f>
        <v>7527760.6064999998</v>
      </c>
      <c r="X12" s="32">
        <f>(+VLOOKUP(C12,'Transporte y Viaticos'!$B$87:$L$120,2,0)*'Parametros Generales'!$C$7*R12)*(2/3)</f>
        <v>1687744.7123597232</v>
      </c>
      <c r="Y12" s="417"/>
      <c r="Z12" s="417"/>
      <c r="AA12" s="417"/>
      <c r="AB12" s="417">
        <f>+M12*'Parametros Generales'!$C$6*'Parametros Generales'!$J$9</f>
        <v>2921454.5454545463</v>
      </c>
      <c r="AC12" s="417">
        <f>+H12*'Parametros Generales'!$J$10*'Parametros Generales'!$C$6*'Parametros Generales'!$C$11</f>
        <v>11053874.075551221</v>
      </c>
      <c r="AD12" s="417"/>
      <c r="AE12" s="417"/>
      <c r="AF12" s="417"/>
      <c r="AG12" s="417"/>
      <c r="AH12" s="417"/>
      <c r="AI12" s="417"/>
      <c r="AJ12" s="417"/>
      <c r="AK12" s="391"/>
      <c r="AL12" s="820"/>
    </row>
    <row r="13" spans="1:38" s="33" customFormat="1" hidden="1" outlineLevel="1">
      <c r="A13" s="1150"/>
      <c r="B13" s="821">
        <v>5</v>
      </c>
      <c r="C13" s="371" t="s">
        <v>47</v>
      </c>
      <c r="D13" s="31">
        <v>5107</v>
      </c>
      <c r="E13" s="1111" t="s">
        <v>1611</v>
      </c>
      <c r="F13" s="1103">
        <v>1</v>
      </c>
      <c r="G13" s="30">
        <v>198</v>
      </c>
      <c r="H13" s="1061">
        <f>CEILING(G13,'Parametros Generales'!$C$8)</f>
        <v>200</v>
      </c>
      <c r="I13" s="1057" t="s">
        <v>58</v>
      </c>
      <c r="J13" s="1058">
        <v>200</v>
      </c>
      <c r="K13" s="1070" t="str">
        <f t="shared" si="0"/>
        <v>Ok</v>
      </c>
      <c r="L13" s="1077">
        <f t="shared" si="1"/>
        <v>0</v>
      </c>
      <c r="M13" s="1090">
        <f>+H13/'Parametros Generales'!$C$8</f>
        <v>8</v>
      </c>
      <c r="N13" s="1097"/>
      <c r="O13" s="1097"/>
      <c r="P13" s="1097"/>
      <c r="Q13" s="1097"/>
      <c r="R13" s="1097">
        <f>+(M13/'Parametros Generales'!$C$9)</f>
        <v>2</v>
      </c>
      <c r="S13" s="390"/>
      <c r="T13" s="390"/>
      <c r="U13" s="390"/>
      <c r="V13" s="389"/>
      <c r="W13" s="32">
        <f>+R13*'Componentes T.H.'!$Q$9*'Parametros Generales'!$C$6</f>
        <v>10037014.142000001</v>
      </c>
      <c r="X13" s="32">
        <f>(+VLOOKUP(C13,'Transporte y Viaticos'!$B$87:$L$120,2,0)*'Parametros Generales'!$C$7*R13)*(2/3)</f>
        <v>2250326.2831462976</v>
      </c>
      <c r="Y13" s="417"/>
      <c r="Z13" s="417"/>
      <c r="AA13" s="417"/>
      <c r="AB13" s="417">
        <f>+M13*'Parametros Generales'!$C$6*'Parametros Generales'!$J$9</f>
        <v>3895272.7272727285</v>
      </c>
      <c r="AC13" s="417">
        <f>+H13*'Parametros Generales'!$J$10*'Parametros Generales'!$C$6*'Parametros Generales'!$C$11</f>
        <v>14738498.767401624</v>
      </c>
      <c r="AD13" s="417"/>
      <c r="AE13" s="417"/>
      <c r="AF13" s="417"/>
      <c r="AG13" s="417"/>
      <c r="AH13" s="417"/>
      <c r="AI13" s="417"/>
      <c r="AJ13" s="417"/>
      <c r="AK13" s="391"/>
      <c r="AL13" s="820"/>
    </row>
    <row r="14" spans="1:38" s="33" customFormat="1" hidden="1" outlineLevel="1">
      <c r="A14" s="1150"/>
      <c r="B14" s="821">
        <v>5</v>
      </c>
      <c r="C14" s="371" t="s">
        <v>47</v>
      </c>
      <c r="D14" s="31">
        <v>5113</v>
      </c>
      <c r="E14" s="1111" t="s">
        <v>1612</v>
      </c>
      <c r="F14" s="1103">
        <v>1</v>
      </c>
      <c r="G14" s="30">
        <v>198</v>
      </c>
      <c r="H14" s="1061">
        <f>CEILING((G14-100),'Parametros Generales'!$C$8)</f>
        <v>100</v>
      </c>
      <c r="I14" s="1057" t="s">
        <v>59</v>
      </c>
      <c r="J14" s="1058">
        <v>100</v>
      </c>
      <c r="K14" s="1070" t="str">
        <f t="shared" si="0"/>
        <v>Ok</v>
      </c>
      <c r="L14" s="1077">
        <f t="shared" si="1"/>
        <v>0</v>
      </c>
      <c r="M14" s="1090">
        <f>+H14/'Parametros Generales'!$C$8</f>
        <v>4</v>
      </c>
      <c r="N14" s="1097"/>
      <c r="O14" s="1097"/>
      <c r="P14" s="1097"/>
      <c r="Q14" s="1097"/>
      <c r="R14" s="1097">
        <f>+(M14/'Parametros Generales'!$C$9)</f>
        <v>1</v>
      </c>
      <c r="S14" s="390"/>
      <c r="T14" s="390"/>
      <c r="U14" s="390"/>
      <c r="V14" s="389"/>
      <c r="W14" s="32">
        <f>+R14*'Componentes T.H.'!$Q$9*'Parametros Generales'!$C$6</f>
        <v>5018507.0710000005</v>
      </c>
      <c r="X14" s="32">
        <f>(+VLOOKUP(C14,'Transporte y Viaticos'!$B$87:$L$120,2,0)*'Parametros Generales'!$C$7*R14)*(2/3)</f>
        <v>1125163.1415731488</v>
      </c>
      <c r="Y14" s="417"/>
      <c r="Z14" s="417"/>
      <c r="AA14" s="417"/>
      <c r="AB14" s="417">
        <f>+M14*'Parametros Generales'!$C$6*'Parametros Generales'!$J$9</f>
        <v>1947636.3636363642</v>
      </c>
      <c r="AC14" s="417">
        <f>+H14*'Parametros Generales'!$J$10*'Parametros Generales'!$C$6*'Parametros Generales'!$C$11</f>
        <v>7369249.3837008122</v>
      </c>
      <c r="AD14" s="417"/>
      <c r="AE14" s="417"/>
      <c r="AF14" s="417"/>
      <c r="AG14" s="417"/>
      <c r="AH14" s="417"/>
      <c r="AI14" s="417"/>
      <c r="AJ14" s="417"/>
      <c r="AK14" s="391"/>
      <c r="AL14" s="820"/>
    </row>
    <row r="15" spans="1:38" s="33" customFormat="1" hidden="1" outlineLevel="1">
      <c r="A15" s="1150"/>
      <c r="B15" s="821">
        <v>5</v>
      </c>
      <c r="C15" s="371" t="s">
        <v>47</v>
      </c>
      <c r="D15" s="31">
        <v>5120</v>
      </c>
      <c r="E15" s="1111" t="s">
        <v>1613</v>
      </c>
      <c r="F15" s="1103">
        <v>1</v>
      </c>
      <c r="G15" s="30">
        <v>198</v>
      </c>
      <c r="H15" s="1061">
        <f>CEILING(G15,'Parametros Generales'!$C$8)</f>
        <v>200</v>
      </c>
      <c r="I15" s="1057" t="s">
        <v>60</v>
      </c>
      <c r="J15" s="1058">
        <v>200</v>
      </c>
      <c r="K15" s="1070" t="str">
        <f t="shared" si="0"/>
        <v>Ok</v>
      </c>
      <c r="L15" s="1077">
        <f t="shared" si="1"/>
        <v>0</v>
      </c>
      <c r="M15" s="1090">
        <f>+H15/'Parametros Generales'!$C$8</f>
        <v>8</v>
      </c>
      <c r="N15" s="1097"/>
      <c r="O15" s="1097"/>
      <c r="P15" s="1097"/>
      <c r="Q15" s="1097"/>
      <c r="R15" s="1097">
        <f>+(M15/'Parametros Generales'!$C$9)</f>
        <v>2</v>
      </c>
      <c r="S15" s="390"/>
      <c r="T15" s="390"/>
      <c r="U15" s="390"/>
      <c r="V15" s="389"/>
      <c r="W15" s="32">
        <f>+R15*'Componentes T.H.'!$Q$9*'Parametros Generales'!$C$6</f>
        <v>10037014.142000001</v>
      </c>
      <c r="X15" s="32">
        <f>(+VLOOKUP(C15,'Transporte y Viaticos'!$B$87:$L$120,2,0)*'Parametros Generales'!$C$7*R15)*(2/3)</f>
        <v>2250326.2831462976</v>
      </c>
      <c r="Y15" s="417"/>
      <c r="Z15" s="417"/>
      <c r="AA15" s="417"/>
      <c r="AB15" s="417">
        <f>+M15*'Parametros Generales'!$C$6*'Parametros Generales'!$J$9</f>
        <v>3895272.7272727285</v>
      </c>
      <c r="AC15" s="417">
        <f>+H15*'Parametros Generales'!$J$10*'Parametros Generales'!$C$6*'Parametros Generales'!$C$11</f>
        <v>14738498.767401624</v>
      </c>
      <c r="AD15" s="417"/>
      <c r="AE15" s="417"/>
      <c r="AF15" s="417"/>
      <c r="AG15" s="417"/>
      <c r="AH15" s="417"/>
      <c r="AI15" s="417"/>
      <c r="AJ15" s="417"/>
      <c r="AK15" s="391"/>
      <c r="AL15" s="820"/>
    </row>
    <row r="16" spans="1:38" s="33" customFormat="1" hidden="1" outlineLevel="1">
      <c r="A16" s="1150"/>
      <c r="B16" s="821">
        <v>5</v>
      </c>
      <c r="C16" s="371" t="s">
        <v>47</v>
      </c>
      <c r="D16" s="31">
        <v>5125</v>
      </c>
      <c r="E16" s="1112" t="s">
        <v>1614</v>
      </c>
      <c r="F16" s="1103">
        <v>1</v>
      </c>
      <c r="G16" s="30">
        <v>198</v>
      </c>
      <c r="H16" s="1061">
        <f>CEILING(G16,'Parametros Generales'!$C$8)</f>
        <v>200</v>
      </c>
      <c r="I16" s="1059" t="s">
        <v>61</v>
      </c>
      <c r="J16" s="1058">
        <v>200</v>
      </c>
      <c r="K16" s="1070" t="str">
        <f t="shared" si="0"/>
        <v>Ok</v>
      </c>
      <c r="L16" s="1077">
        <f t="shared" si="1"/>
        <v>0</v>
      </c>
      <c r="M16" s="1090">
        <f>+H16/'Parametros Generales'!$C$8</f>
        <v>8</v>
      </c>
      <c r="N16" s="1097"/>
      <c r="O16" s="1097"/>
      <c r="P16" s="1097"/>
      <c r="Q16" s="1097"/>
      <c r="R16" s="1097">
        <f>+(M16/'Parametros Generales'!$C$9)</f>
        <v>2</v>
      </c>
      <c r="S16" s="390"/>
      <c r="T16" s="390"/>
      <c r="U16" s="390"/>
      <c r="V16" s="389"/>
      <c r="W16" s="32">
        <f>+R16*'Componentes T.H.'!$Q$9*'Parametros Generales'!$C$6</f>
        <v>10037014.142000001</v>
      </c>
      <c r="X16" s="32">
        <f>(+VLOOKUP(C16,'Transporte y Viaticos'!$B$87:$L$120,2,0)*'Parametros Generales'!$C$7*R16)*(2/3)</f>
        <v>2250326.2831462976</v>
      </c>
      <c r="Y16" s="417"/>
      <c r="Z16" s="417"/>
      <c r="AA16" s="417"/>
      <c r="AB16" s="417">
        <f>+M16*'Parametros Generales'!$C$6*'Parametros Generales'!$J$9</f>
        <v>3895272.7272727285</v>
      </c>
      <c r="AC16" s="417">
        <f>+H16*'Parametros Generales'!$J$10*'Parametros Generales'!$C$6*'Parametros Generales'!$C$11</f>
        <v>14738498.767401624</v>
      </c>
      <c r="AD16" s="417"/>
      <c r="AE16" s="417"/>
      <c r="AF16" s="417"/>
      <c r="AG16" s="417"/>
      <c r="AH16" s="417"/>
      <c r="AI16" s="417"/>
      <c r="AJ16" s="417"/>
      <c r="AK16" s="391"/>
      <c r="AL16" s="820"/>
    </row>
    <row r="17" spans="1:38" s="33" customFormat="1" hidden="1" outlineLevel="1">
      <c r="A17" s="1150"/>
      <c r="B17" s="821">
        <v>5</v>
      </c>
      <c r="C17" s="371" t="s">
        <v>47</v>
      </c>
      <c r="D17" s="31">
        <v>5129</v>
      </c>
      <c r="E17" s="1111" t="s">
        <v>1615</v>
      </c>
      <c r="F17" s="1103">
        <v>1</v>
      </c>
      <c r="G17" s="30">
        <v>198</v>
      </c>
      <c r="H17" s="1061">
        <f>CEILING(G17,'Parametros Generales'!$C$8)</f>
        <v>200</v>
      </c>
      <c r="I17" s="1057" t="s">
        <v>62</v>
      </c>
      <c r="J17" s="1058">
        <v>200</v>
      </c>
      <c r="K17" s="1070" t="str">
        <f t="shared" si="0"/>
        <v>Ok</v>
      </c>
      <c r="L17" s="1077">
        <f t="shared" si="1"/>
        <v>0</v>
      </c>
      <c r="M17" s="1090">
        <f>+H17/'Parametros Generales'!$C$8</f>
        <v>8</v>
      </c>
      <c r="N17" s="1097"/>
      <c r="O17" s="1097"/>
      <c r="P17" s="1097"/>
      <c r="Q17" s="1097"/>
      <c r="R17" s="1097">
        <f>+(M17/'Parametros Generales'!$C$9)</f>
        <v>2</v>
      </c>
      <c r="S17" s="390"/>
      <c r="T17" s="390"/>
      <c r="U17" s="390"/>
      <c r="V17" s="389"/>
      <c r="W17" s="32">
        <f>+R17*'Componentes T.H.'!$Q$9*'Parametros Generales'!$C$6</f>
        <v>10037014.142000001</v>
      </c>
      <c r="X17" s="32">
        <f>(+VLOOKUP(C17,'Transporte y Viaticos'!$B$87:$L$120,2,0)*'Parametros Generales'!$C$7*R17)*(2/3)</f>
        <v>2250326.2831462976</v>
      </c>
      <c r="Y17" s="417"/>
      <c r="Z17" s="417"/>
      <c r="AA17" s="417"/>
      <c r="AB17" s="417">
        <f>+M17*'Parametros Generales'!$C$6*'Parametros Generales'!$J$9</f>
        <v>3895272.7272727285</v>
      </c>
      <c r="AC17" s="417">
        <f>+H17*'Parametros Generales'!$J$10*'Parametros Generales'!$C$6*'Parametros Generales'!$C$11</f>
        <v>14738498.767401624</v>
      </c>
      <c r="AD17" s="417"/>
      <c r="AE17" s="417"/>
      <c r="AF17" s="417"/>
      <c r="AG17" s="417"/>
      <c r="AH17" s="417"/>
      <c r="AI17" s="417"/>
      <c r="AJ17" s="417"/>
      <c r="AK17" s="391"/>
      <c r="AL17" s="820"/>
    </row>
    <row r="18" spans="1:38" s="33" customFormat="1" hidden="1" outlineLevel="1">
      <c r="A18" s="1150"/>
      <c r="B18" s="821">
        <v>5</v>
      </c>
      <c r="C18" s="371" t="s">
        <v>47</v>
      </c>
      <c r="D18" s="31">
        <v>5138</v>
      </c>
      <c r="E18" s="1111" t="s">
        <v>1616</v>
      </c>
      <c r="F18" s="1103">
        <v>1</v>
      </c>
      <c r="G18" s="30">
        <v>198</v>
      </c>
      <c r="H18" s="1061">
        <f>CEILING(G18,'Parametros Generales'!$C$8)</f>
        <v>200</v>
      </c>
      <c r="I18" s="1057" t="s">
        <v>63</v>
      </c>
      <c r="J18" s="1058">
        <v>200</v>
      </c>
      <c r="K18" s="1070" t="str">
        <f t="shared" si="0"/>
        <v>Ok</v>
      </c>
      <c r="L18" s="1077">
        <f t="shared" si="1"/>
        <v>0</v>
      </c>
      <c r="M18" s="1090">
        <f>+H18/'Parametros Generales'!$C$8</f>
        <v>8</v>
      </c>
      <c r="N18" s="1097"/>
      <c r="O18" s="1097"/>
      <c r="P18" s="1097"/>
      <c r="Q18" s="1097"/>
      <c r="R18" s="1097">
        <f>+(M18/'Parametros Generales'!$C$9)</f>
        <v>2</v>
      </c>
      <c r="S18" s="390"/>
      <c r="T18" s="390"/>
      <c r="U18" s="390"/>
      <c r="V18" s="389"/>
      <c r="W18" s="32">
        <f>+R18*'Componentes T.H.'!$Q$9*'Parametros Generales'!$C$6</f>
        <v>10037014.142000001</v>
      </c>
      <c r="X18" s="32">
        <f>(+VLOOKUP(C18,'Transporte y Viaticos'!$B$87:$L$120,2,0)*'Parametros Generales'!$C$7*R18)*(2/3)</f>
        <v>2250326.2831462976</v>
      </c>
      <c r="Y18" s="417"/>
      <c r="Z18" s="417"/>
      <c r="AA18" s="417"/>
      <c r="AB18" s="417">
        <f>+M18*'Parametros Generales'!$C$6*'Parametros Generales'!$J$9</f>
        <v>3895272.7272727285</v>
      </c>
      <c r="AC18" s="417">
        <f>+H18*'Parametros Generales'!$J$10*'Parametros Generales'!$C$6*'Parametros Generales'!$C$11</f>
        <v>14738498.767401624</v>
      </c>
      <c r="AD18" s="417"/>
      <c r="AE18" s="417"/>
      <c r="AF18" s="417"/>
      <c r="AG18" s="417"/>
      <c r="AH18" s="417"/>
      <c r="AI18" s="417"/>
      <c r="AJ18" s="417"/>
      <c r="AK18" s="391"/>
      <c r="AL18" s="820"/>
    </row>
    <row r="19" spans="1:38" s="33" customFormat="1" hidden="1" outlineLevel="1">
      <c r="A19" s="1150"/>
      <c r="B19" s="821">
        <v>5</v>
      </c>
      <c r="C19" s="371" t="s">
        <v>47</v>
      </c>
      <c r="D19" s="31">
        <v>5147</v>
      </c>
      <c r="E19" s="1111" t="s">
        <v>1617</v>
      </c>
      <c r="F19" s="1103">
        <v>1</v>
      </c>
      <c r="G19" s="30">
        <v>198</v>
      </c>
      <c r="H19" s="1061">
        <f>CEILING(G19,'Parametros Generales'!$C$8)</f>
        <v>200</v>
      </c>
      <c r="I19" s="1057" t="s">
        <v>64</v>
      </c>
      <c r="J19" s="1058">
        <v>200</v>
      </c>
      <c r="K19" s="1070" t="str">
        <f t="shared" si="0"/>
        <v>Ok</v>
      </c>
      <c r="L19" s="1077">
        <f t="shared" si="1"/>
        <v>0</v>
      </c>
      <c r="M19" s="1090">
        <f>+H19/'Parametros Generales'!$C$8</f>
        <v>8</v>
      </c>
      <c r="N19" s="1097"/>
      <c r="O19" s="1097"/>
      <c r="P19" s="1097"/>
      <c r="Q19" s="1097"/>
      <c r="R19" s="1097">
        <f>+(M19/'Parametros Generales'!$C$9)</f>
        <v>2</v>
      </c>
      <c r="S19" s="390"/>
      <c r="T19" s="390"/>
      <c r="U19" s="390"/>
      <c r="V19" s="389"/>
      <c r="W19" s="32">
        <f>+R19*'Componentes T.H.'!$Q$9*'Parametros Generales'!$C$6</f>
        <v>10037014.142000001</v>
      </c>
      <c r="X19" s="32">
        <f>(+VLOOKUP(C19,'Transporte y Viaticos'!$B$87:$L$120,2,0)*'Parametros Generales'!$C$7*R19)*(2/3)</f>
        <v>2250326.2831462976</v>
      </c>
      <c r="Y19" s="417"/>
      <c r="Z19" s="417"/>
      <c r="AA19" s="417"/>
      <c r="AB19" s="417">
        <f>+M19*'Parametros Generales'!$C$6*'Parametros Generales'!$J$9</f>
        <v>3895272.7272727285</v>
      </c>
      <c r="AC19" s="417">
        <f>+H19*'Parametros Generales'!$J$10*'Parametros Generales'!$C$6*'Parametros Generales'!$C$11</f>
        <v>14738498.767401624</v>
      </c>
      <c r="AD19" s="417"/>
      <c r="AE19" s="417"/>
      <c r="AF19" s="417"/>
      <c r="AG19" s="417"/>
      <c r="AH19" s="417"/>
      <c r="AI19" s="417"/>
      <c r="AJ19" s="417"/>
      <c r="AK19" s="391"/>
      <c r="AL19" s="820"/>
    </row>
    <row r="20" spans="1:38" s="33" customFormat="1" hidden="1" outlineLevel="1">
      <c r="A20" s="1150"/>
      <c r="B20" s="821">
        <v>5</v>
      </c>
      <c r="C20" s="371" t="s">
        <v>47</v>
      </c>
      <c r="D20" s="31">
        <v>5150</v>
      </c>
      <c r="E20" s="1111" t="s">
        <v>1618</v>
      </c>
      <c r="F20" s="1103">
        <v>1</v>
      </c>
      <c r="G20" s="30">
        <v>198</v>
      </c>
      <c r="H20" s="1061">
        <f>CEILING(G20,'Parametros Generales'!$C$8)</f>
        <v>200</v>
      </c>
      <c r="I20" s="1057" t="s">
        <v>65</v>
      </c>
      <c r="J20" s="1058">
        <v>200</v>
      </c>
      <c r="K20" s="1070" t="str">
        <f t="shared" si="0"/>
        <v>Ok</v>
      </c>
      <c r="L20" s="1077">
        <f t="shared" si="1"/>
        <v>0</v>
      </c>
      <c r="M20" s="1090">
        <f>+H20/'Parametros Generales'!$C$8</f>
        <v>8</v>
      </c>
      <c r="N20" s="1097"/>
      <c r="O20" s="1097"/>
      <c r="P20" s="1097"/>
      <c r="Q20" s="1097"/>
      <c r="R20" s="1097">
        <f>+(M20/'Parametros Generales'!$C$9)</f>
        <v>2</v>
      </c>
      <c r="S20" s="390"/>
      <c r="T20" s="390"/>
      <c r="U20" s="390"/>
      <c r="V20" s="389"/>
      <c r="W20" s="32">
        <f>+R20*'Componentes T.H.'!$Q$9*'Parametros Generales'!$C$6</f>
        <v>10037014.142000001</v>
      </c>
      <c r="X20" s="32">
        <f>(+VLOOKUP(C20,'Transporte y Viaticos'!$B$87:$L$120,2,0)*'Parametros Generales'!$C$7*R20)*(2/3)</f>
        <v>2250326.2831462976</v>
      </c>
      <c r="Y20" s="417"/>
      <c r="Z20" s="417"/>
      <c r="AA20" s="417"/>
      <c r="AB20" s="417">
        <f>+M20*'Parametros Generales'!$C$6*'Parametros Generales'!$J$9</f>
        <v>3895272.7272727285</v>
      </c>
      <c r="AC20" s="417">
        <f>+H20*'Parametros Generales'!$J$10*'Parametros Generales'!$C$6*'Parametros Generales'!$C$11</f>
        <v>14738498.767401624</v>
      </c>
      <c r="AD20" s="417"/>
      <c r="AE20" s="417"/>
      <c r="AF20" s="417"/>
      <c r="AG20" s="417"/>
      <c r="AH20" s="417"/>
      <c r="AI20" s="417"/>
      <c r="AJ20" s="417"/>
      <c r="AK20" s="391"/>
      <c r="AL20" s="820"/>
    </row>
    <row r="21" spans="1:38" s="33" customFormat="1" hidden="1" outlineLevel="1">
      <c r="A21" s="1150"/>
      <c r="B21" s="821">
        <v>5</v>
      </c>
      <c r="C21" s="371" t="s">
        <v>47</v>
      </c>
      <c r="D21" s="31">
        <v>5154</v>
      </c>
      <c r="E21" s="1111" t="s">
        <v>1619</v>
      </c>
      <c r="F21" s="1103">
        <v>1</v>
      </c>
      <c r="G21" s="30">
        <v>198</v>
      </c>
      <c r="H21" s="1061">
        <f>CEILING(G21,'Parametros Generales'!$C$8)</f>
        <v>200</v>
      </c>
      <c r="I21" s="1057" t="s">
        <v>66</v>
      </c>
      <c r="J21" s="1058">
        <v>200</v>
      </c>
      <c r="K21" s="1070" t="str">
        <f t="shared" si="0"/>
        <v>Ok</v>
      </c>
      <c r="L21" s="1077">
        <f t="shared" si="1"/>
        <v>0</v>
      </c>
      <c r="M21" s="1090">
        <f>+H21/'Parametros Generales'!$C$8</f>
        <v>8</v>
      </c>
      <c r="N21" s="1097"/>
      <c r="O21" s="1097"/>
      <c r="P21" s="1097"/>
      <c r="Q21" s="1097"/>
      <c r="R21" s="1097">
        <f>+(M21/'Parametros Generales'!$C$9)</f>
        <v>2</v>
      </c>
      <c r="S21" s="390"/>
      <c r="T21" s="390"/>
      <c r="U21" s="390"/>
      <c r="V21" s="389"/>
      <c r="W21" s="32">
        <f>+R21*'Componentes T.H.'!$Q$9*'Parametros Generales'!$C$6</f>
        <v>10037014.142000001</v>
      </c>
      <c r="X21" s="32">
        <f>(+VLOOKUP(C21,'Transporte y Viaticos'!$B$87:$L$120,2,0)*'Parametros Generales'!$C$7*R21)*(2/3)</f>
        <v>2250326.2831462976</v>
      </c>
      <c r="Y21" s="417"/>
      <c r="Z21" s="417"/>
      <c r="AA21" s="417"/>
      <c r="AB21" s="417">
        <f>+M21*'Parametros Generales'!$C$6*'Parametros Generales'!$J$9</f>
        <v>3895272.7272727285</v>
      </c>
      <c r="AC21" s="417">
        <f>+H21*'Parametros Generales'!$J$10*'Parametros Generales'!$C$6*'Parametros Generales'!$C$11</f>
        <v>14738498.767401624</v>
      </c>
      <c r="AD21" s="417"/>
      <c r="AE21" s="417"/>
      <c r="AF21" s="417"/>
      <c r="AG21" s="417"/>
      <c r="AH21" s="417"/>
      <c r="AI21" s="417"/>
      <c r="AJ21" s="417"/>
      <c r="AK21" s="391"/>
      <c r="AL21" s="820"/>
    </row>
    <row r="22" spans="1:38" s="33" customFormat="1" hidden="1" outlineLevel="1">
      <c r="A22" s="1150"/>
      <c r="B22" s="821">
        <v>5</v>
      </c>
      <c r="C22" s="371" t="s">
        <v>47</v>
      </c>
      <c r="D22" s="31">
        <v>5172</v>
      </c>
      <c r="E22" s="1111" t="s">
        <v>1620</v>
      </c>
      <c r="F22" s="1103">
        <v>1</v>
      </c>
      <c r="G22" s="30">
        <v>198</v>
      </c>
      <c r="H22" s="1061">
        <f>CEILING(G22,'Parametros Generales'!$C$8)</f>
        <v>200</v>
      </c>
      <c r="I22" s="1057" t="s">
        <v>67</v>
      </c>
      <c r="J22" s="1058">
        <v>200</v>
      </c>
      <c r="K22" s="1070" t="str">
        <f t="shared" si="0"/>
        <v>Ok</v>
      </c>
      <c r="L22" s="1077">
        <f t="shared" si="1"/>
        <v>0</v>
      </c>
      <c r="M22" s="1090">
        <f>+H22/'Parametros Generales'!$C$8</f>
        <v>8</v>
      </c>
      <c r="N22" s="1097"/>
      <c r="O22" s="1097"/>
      <c r="P22" s="1097"/>
      <c r="Q22" s="1097"/>
      <c r="R22" s="1097">
        <f>+(M22/'Parametros Generales'!$C$9)</f>
        <v>2</v>
      </c>
      <c r="S22" s="390"/>
      <c r="T22" s="390"/>
      <c r="U22" s="390"/>
      <c r="V22" s="389"/>
      <c r="W22" s="32">
        <f>+R22*'Componentes T.H.'!$Q$9*'Parametros Generales'!$C$6</f>
        <v>10037014.142000001</v>
      </c>
      <c r="X22" s="32">
        <f>(+VLOOKUP(C22,'Transporte y Viaticos'!$B$87:$L$120,2,0)*'Parametros Generales'!$C$7*R22)*(2/3)</f>
        <v>2250326.2831462976</v>
      </c>
      <c r="Y22" s="417"/>
      <c r="Z22" s="417"/>
      <c r="AA22" s="417"/>
      <c r="AB22" s="417">
        <f>+M22*'Parametros Generales'!$C$6*'Parametros Generales'!$J$9</f>
        <v>3895272.7272727285</v>
      </c>
      <c r="AC22" s="417">
        <f>+H22*'Parametros Generales'!$J$10*'Parametros Generales'!$C$6*'Parametros Generales'!$C$11</f>
        <v>14738498.767401624</v>
      </c>
      <c r="AD22" s="417"/>
      <c r="AE22" s="417"/>
      <c r="AF22" s="417"/>
      <c r="AG22" s="417"/>
      <c r="AH22" s="417"/>
      <c r="AI22" s="417"/>
      <c r="AJ22" s="417"/>
      <c r="AK22" s="391"/>
      <c r="AL22" s="820"/>
    </row>
    <row r="23" spans="1:38" s="33" customFormat="1" hidden="1" outlineLevel="1">
      <c r="A23" s="1150"/>
      <c r="B23" s="821">
        <v>5</v>
      </c>
      <c r="C23" s="371" t="s">
        <v>47</v>
      </c>
      <c r="D23" s="31">
        <v>5190</v>
      </c>
      <c r="E23" s="1111" t="s">
        <v>1621</v>
      </c>
      <c r="F23" s="1103">
        <v>1</v>
      </c>
      <c r="G23" s="30">
        <v>198</v>
      </c>
      <c r="H23" s="1061">
        <f>CEILING(G23,'Parametros Generales'!$C$8)</f>
        <v>200</v>
      </c>
      <c r="I23" s="1057" t="s">
        <v>68</v>
      </c>
      <c r="J23" s="1058">
        <v>200</v>
      </c>
      <c r="K23" s="1070" t="str">
        <f t="shared" si="0"/>
        <v>Ok</v>
      </c>
      <c r="L23" s="1077">
        <f t="shared" si="1"/>
        <v>0</v>
      </c>
      <c r="M23" s="1090">
        <f>+H23/'Parametros Generales'!$C$8</f>
        <v>8</v>
      </c>
      <c r="N23" s="1097"/>
      <c r="O23" s="1097"/>
      <c r="P23" s="1097"/>
      <c r="Q23" s="1097"/>
      <c r="R23" s="1097">
        <f>+(M23/'Parametros Generales'!$C$9)</f>
        <v>2</v>
      </c>
      <c r="S23" s="390"/>
      <c r="T23" s="390"/>
      <c r="U23" s="390"/>
      <c r="V23" s="389"/>
      <c r="W23" s="32">
        <f>+R23*'Componentes T.H.'!$Q$9*'Parametros Generales'!$C$6</f>
        <v>10037014.142000001</v>
      </c>
      <c r="X23" s="32">
        <f>(+VLOOKUP(C23,'Transporte y Viaticos'!$B$87:$L$120,2,0)*'Parametros Generales'!$C$7*R23)*(2/3)</f>
        <v>2250326.2831462976</v>
      </c>
      <c r="Y23" s="417"/>
      <c r="Z23" s="417"/>
      <c r="AA23" s="417"/>
      <c r="AB23" s="417">
        <f>+M23*'Parametros Generales'!$C$6*'Parametros Generales'!$J$9</f>
        <v>3895272.7272727285</v>
      </c>
      <c r="AC23" s="417">
        <f>+H23*'Parametros Generales'!$J$10*'Parametros Generales'!$C$6*'Parametros Generales'!$C$11</f>
        <v>14738498.767401624</v>
      </c>
      <c r="AD23" s="417"/>
      <c r="AE23" s="417"/>
      <c r="AF23" s="417"/>
      <c r="AG23" s="417"/>
      <c r="AH23" s="417"/>
      <c r="AI23" s="417"/>
      <c r="AJ23" s="417"/>
      <c r="AK23" s="391"/>
      <c r="AL23" s="820"/>
    </row>
    <row r="24" spans="1:38" s="33" customFormat="1" hidden="1" outlineLevel="1">
      <c r="A24" s="1150"/>
      <c r="B24" s="821">
        <v>5</v>
      </c>
      <c r="C24" s="371" t="s">
        <v>47</v>
      </c>
      <c r="D24" s="31">
        <v>5101</v>
      </c>
      <c r="E24" s="1111" t="s">
        <v>1622</v>
      </c>
      <c r="F24" s="1103">
        <v>1</v>
      </c>
      <c r="G24" s="30">
        <v>198</v>
      </c>
      <c r="H24" s="1061">
        <f>CEILING(G24,'Parametros Generales'!$C$8)</f>
        <v>200</v>
      </c>
      <c r="I24" s="1057" t="s">
        <v>770</v>
      </c>
      <c r="J24" s="1058">
        <v>200</v>
      </c>
      <c r="K24" s="1070" t="str">
        <f t="shared" si="0"/>
        <v>Ok</v>
      </c>
      <c r="L24" s="1077">
        <f t="shared" si="1"/>
        <v>0</v>
      </c>
      <c r="M24" s="1090">
        <f>+H24/'Parametros Generales'!$C$8</f>
        <v>8</v>
      </c>
      <c r="N24" s="1097"/>
      <c r="O24" s="1097"/>
      <c r="P24" s="1097"/>
      <c r="Q24" s="1097"/>
      <c r="R24" s="1097">
        <f>+(M24/'Parametros Generales'!$C$9)</f>
        <v>2</v>
      </c>
      <c r="S24" s="390"/>
      <c r="T24" s="390"/>
      <c r="U24" s="390"/>
      <c r="V24" s="389"/>
      <c r="W24" s="32">
        <f>+R24*'Componentes T.H.'!$Q$9*'Parametros Generales'!$C$6</f>
        <v>10037014.142000001</v>
      </c>
      <c r="X24" s="32">
        <f>(+VLOOKUP(C24,'Transporte y Viaticos'!$B$87:$L$120,2,0)*'Parametros Generales'!$C$7*R24)*(2/3)</f>
        <v>2250326.2831462976</v>
      </c>
      <c r="Y24" s="417"/>
      <c r="Z24" s="417"/>
      <c r="AA24" s="417"/>
      <c r="AB24" s="417">
        <f>+M24*'Parametros Generales'!$C$6*'Parametros Generales'!$J$9</f>
        <v>3895272.7272727285</v>
      </c>
      <c r="AC24" s="417">
        <f>+H24*'Parametros Generales'!$J$10*'Parametros Generales'!$C$6*'Parametros Generales'!$C$11</f>
        <v>14738498.767401624</v>
      </c>
      <c r="AD24" s="417"/>
      <c r="AE24" s="417"/>
      <c r="AF24" s="417"/>
      <c r="AG24" s="417"/>
      <c r="AH24" s="417"/>
      <c r="AI24" s="417"/>
      <c r="AJ24" s="417"/>
      <c r="AK24" s="391"/>
      <c r="AL24" s="820"/>
    </row>
    <row r="25" spans="1:38" s="33" customFormat="1" hidden="1" outlineLevel="1">
      <c r="A25" s="1150"/>
      <c r="B25" s="821">
        <v>5</v>
      </c>
      <c r="C25" s="371" t="s">
        <v>47</v>
      </c>
      <c r="D25" s="31">
        <v>5209</v>
      </c>
      <c r="E25" s="1111" t="s">
        <v>1623</v>
      </c>
      <c r="F25" s="1103">
        <v>1</v>
      </c>
      <c r="G25" s="30">
        <v>198</v>
      </c>
      <c r="H25" s="1061">
        <f>CEILING((G25-50),'Parametros Generales'!$C$8)</f>
        <v>150</v>
      </c>
      <c r="I25" s="1057" t="s">
        <v>69</v>
      </c>
      <c r="J25" s="1058">
        <v>150</v>
      </c>
      <c r="K25" s="1070" t="str">
        <f t="shared" si="0"/>
        <v>Ok</v>
      </c>
      <c r="L25" s="1077">
        <f t="shared" si="1"/>
        <v>0</v>
      </c>
      <c r="M25" s="1090">
        <f>+H25/'Parametros Generales'!$C$8</f>
        <v>6</v>
      </c>
      <c r="N25" s="1097"/>
      <c r="O25" s="1097"/>
      <c r="P25" s="1097"/>
      <c r="Q25" s="1097"/>
      <c r="R25" s="1097">
        <f>+(M25/'Parametros Generales'!$C$9)</f>
        <v>1.5</v>
      </c>
      <c r="S25" s="390"/>
      <c r="T25" s="390"/>
      <c r="U25" s="390"/>
      <c r="V25" s="389"/>
      <c r="W25" s="32">
        <f>+R25*'Componentes T.H.'!$Q$9*'Parametros Generales'!$C$6</f>
        <v>7527760.6064999998</v>
      </c>
      <c r="X25" s="32">
        <f>(+VLOOKUP(C25,'Transporte y Viaticos'!$B$87:$L$120,2,0)*'Parametros Generales'!$C$7*R25)*(2/3)</f>
        <v>1687744.7123597232</v>
      </c>
      <c r="Y25" s="417"/>
      <c r="Z25" s="417"/>
      <c r="AA25" s="417"/>
      <c r="AB25" s="417">
        <f>+M25*'Parametros Generales'!$C$6*'Parametros Generales'!$J$9</f>
        <v>2921454.5454545463</v>
      </c>
      <c r="AC25" s="417">
        <f>+H25*'Parametros Generales'!$J$10*'Parametros Generales'!$C$6*'Parametros Generales'!$C$11</f>
        <v>11053874.075551221</v>
      </c>
      <c r="AD25" s="417"/>
      <c r="AE25" s="417"/>
      <c r="AF25" s="417"/>
      <c r="AG25" s="417"/>
      <c r="AH25" s="417"/>
      <c r="AI25" s="417"/>
      <c r="AJ25" s="417"/>
      <c r="AK25" s="391"/>
      <c r="AL25" s="820"/>
    </row>
    <row r="26" spans="1:38" s="33" customFormat="1" hidden="1" outlineLevel="1">
      <c r="A26" s="1150"/>
      <c r="B26" s="821">
        <v>5</v>
      </c>
      <c r="C26" s="371" t="s">
        <v>47</v>
      </c>
      <c r="D26" s="31">
        <v>5212</v>
      </c>
      <c r="E26" s="1111" t="s">
        <v>1624</v>
      </c>
      <c r="F26" s="1103">
        <v>1</v>
      </c>
      <c r="G26" s="30">
        <v>198</v>
      </c>
      <c r="H26" s="1061">
        <f>CEILING(G26,'Parametros Generales'!$C$8)</f>
        <v>200</v>
      </c>
      <c r="I26" s="1057" t="s">
        <v>70</v>
      </c>
      <c r="J26" s="1058">
        <v>200</v>
      </c>
      <c r="K26" s="1070" t="str">
        <f t="shared" si="0"/>
        <v>Ok</v>
      </c>
      <c r="L26" s="1077">
        <f t="shared" si="1"/>
        <v>0</v>
      </c>
      <c r="M26" s="1090">
        <f>+H26/'Parametros Generales'!$C$8</f>
        <v>8</v>
      </c>
      <c r="N26" s="1097"/>
      <c r="O26" s="1097"/>
      <c r="P26" s="1097"/>
      <c r="Q26" s="1097"/>
      <c r="R26" s="1097">
        <f>+(M26/'Parametros Generales'!$C$9)</f>
        <v>2</v>
      </c>
      <c r="S26" s="390"/>
      <c r="T26" s="390"/>
      <c r="U26" s="390"/>
      <c r="V26" s="389"/>
      <c r="W26" s="32">
        <f>+R26*'Componentes T.H.'!$Q$9*'Parametros Generales'!$C$6</f>
        <v>10037014.142000001</v>
      </c>
      <c r="X26" s="32">
        <f>(+VLOOKUP(C26,'Transporte y Viaticos'!$B$87:$L$120,2,0)*'Parametros Generales'!$C$7*R26)*(2/3)</f>
        <v>2250326.2831462976</v>
      </c>
      <c r="Y26" s="417"/>
      <c r="Z26" s="417"/>
      <c r="AA26" s="417"/>
      <c r="AB26" s="417">
        <f>+M26*'Parametros Generales'!$C$6*'Parametros Generales'!$J$9</f>
        <v>3895272.7272727285</v>
      </c>
      <c r="AC26" s="417">
        <f>+H26*'Parametros Generales'!$J$10*'Parametros Generales'!$C$6*'Parametros Generales'!$C$11</f>
        <v>14738498.767401624</v>
      </c>
      <c r="AD26" s="417"/>
      <c r="AE26" s="417"/>
      <c r="AF26" s="417"/>
      <c r="AG26" s="417"/>
      <c r="AH26" s="417"/>
      <c r="AI26" s="417"/>
      <c r="AJ26" s="417"/>
      <c r="AK26" s="391"/>
      <c r="AL26" s="820"/>
    </row>
    <row r="27" spans="1:38" s="33" customFormat="1" hidden="1" outlineLevel="1">
      <c r="A27" s="1150"/>
      <c r="B27" s="821">
        <v>5</v>
      </c>
      <c r="C27" s="371" t="s">
        <v>47</v>
      </c>
      <c r="D27" s="31">
        <v>5234</v>
      </c>
      <c r="E27" s="1111" t="s">
        <v>1625</v>
      </c>
      <c r="F27" s="1103">
        <v>1</v>
      </c>
      <c r="G27" s="30">
        <v>198</v>
      </c>
      <c r="H27" s="1061">
        <f>CEILING(G27,'Parametros Generales'!$C$8)</f>
        <v>200</v>
      </c>
      <c r="I27" s="1057" t="s">
        <v>71</v>
      </c>
      <c r="J27" s="1058">
        <v>200</v>
      </c>
      <c r="K27" s="1070" t="str">
        <f t="shared" si="0"/>
        <v>Ok</v>
      </c>
      <c r="L27" s="1077">
        <f t="shared" si="1"/>
        <v>0</v>
      </c>
      <c r="M27" s="1090">
        <f>+H27/'Parametros Generales'!$C$8</f>
        <v>8</v>
      </c>
      <c r="N27" s="1097"/>
      <c r="O27" s="1097"/>
      <c r="P27" s="1097"/>
      <c r="Q27" s="1097"/>
      <c r="R27" s="1097">
        <f>+(M27/'Parametros Generales'!$C$9)</f>
        <v>2</v>
      </c>
      <c r="S27" s="390"/>
      <c r="T27" s="390"/>
      <c r="U27" s="390"/>
      <c r="V27" s="389"/>
      <c r="W27" s="32">
        <f>+R27*'Componentes T.H.'!$Q$9*'Parametros Generales'!$C$6</f>
        <v>10037014.142000001</v>
      </c>
      <c r="X27" s="32">
        <f>(+VLOOKUP(C27,'Transporte y Viaticos'!$B$87:$L$120,2,0)*'Parametros Generales'!$C$7*R27)*(2/3)</f>
        <v>2250326.2831462976</v>
      </c>
      <c r="Y27" s="417"/>
      <c r="Z27" s="417"/>
      <c r="AA27" s="417"/>
      <c r="AB27" s="417">
        <f>+M27*'Parametros Generales'!$C$6*'Parametros Generales'!$J$9</f>
        <v>3895272.7272727285</v>
      </c>
      <c r="AC27" s="417">
        <f>+H27*'Parametros Generales'!$J$10*'Parametros Generales'!$C$6*'Parametros Generales'!$C$11</f>
        <v>14738498.767401624</v>
      </c>
      <c r="AD27" s="417"/>
      <c r="AE27" s="417"/>
      <c r="AF27" s="417"/>
      <c r="AG27" s="417"/>
      <c r="AH27" s="417"/>
      <c r="AI27" s="417"/>
      <c r="AJ27" s="417"/>
      <c r="AK27" s="391"/>
      <c r="AL27" s="820"/>
    </row>
    <row r="28" spans="1:38" s="33" customFormat="1" hidden="1" outlineLevel="1">
      <c r="A28" s="1150"/>
      <c r="B28" s="821">
        <v>5</v>
      </c>
      <c r="C28" s="371" t="s">
        <v>47</v>
      </c>
      <c r="D28" s="31">
        <v>5250</v>
      </c>
      <c r="E28" s="1111" t="s">
        <v>1626</v>
      </c>
      <c r="F28" s="1103">
        <v>1</v>
      </c>
      <c r="G28" s="30">
        <v>198</v>
      </c>
      <c r="H28" s="1061">
        <f>CEILING(G28,'Parametros Generales'!$C$8)</f>
        <v>200</v>
      </c>
      <c r="I28" s="1057" t="s">
        <v>72</v>
      </c>
      <c r="J28" s="1058">
        <v>200</v>
      </c>
      <c r="K28" s="1070" t="str">
        <f t="shared" si="0"/>
        <v>Ok</v>
      </c>
      <c r="L28" s="1077">
        <f t="shared" si="1"/>
        <v>0</v>
      </c>
      <c r="M28" s="1090">
        <f>+H28/'Parametros Generales'!$C$8</f>
        <v>8</v>
      </c>
      <c r="N28" s="1097"/>
      <c r="O28" s="1097"/>
      <c r="P28" s="1097"/>
      <c r="Q28" s="1097"/>
      <c r="R28" s="1097">
        <f>+(M28/'Parametros Generales'!$C$9)</f>
        <v>2</v>
      </c>
      <c r="S28" s="390"/>
      <c r="T28" s="390"/>
      <c r="U28" s="390"/>
      <c r="V28" s="389"/>
      <c r="W28" s="32">
        <f>+R28*'Componentes T.H.'!$Q$9*'Parametros Generales'!$C$6</f>
        <v>10037014.142000001</v>
      </c>
      <c r="X28" s="32">
        <f>(+VLOOKUP(C28,'Transporte y Viaticos'!$B$87:$L$120,2,0)*'Parametros Generales'!$C$7*R28)*(2/3)</f>
        <v>2250326.2831462976</v>
      </c>
      <c r="Y28" s="417"/>
      <c r="Z28" s="417"/>
      <c r="AA28" s="417"/>
      <c r="AB28" s="417">
        <f>+M28*'Parametros Generales'!$C$6*'Parametros Generales'!$J$9</f>
        <v>3895272.7272727285</v>
      </c>
      <c r="AC28" s="417">
        <f>+H28*'Parametros Generales'!$J$10*'Parametros Generales'!$C$6*'Parametros Generales'!$C$11</f>
        <v>14738498.767401624</v>
      </c>
      <c r="AD28" s="417"/>
      <c r="AE28" s="417"/>
      <c r="AF28" s="417"/>
      <c r="AG28" s="417"/>
      <c r="AH28" s="417"/>
      <c r="AI28" s="417"/>
      <c r="AJ28" s="417"/>
      <c r="AK28" s="391"/>
      <c r="AL28" s="820"/>
    </row>
    <row r="29" spans="1:38" s="33" customFormat="1" hidden="1" outlineLevel="1">
      <c r="A29" s="1150"/>
      <c r="B29" s="821">
        <v>5</v>
      </c>
      <c r="C29" s="371" t="s">
        <v>47</v>
      </c>
      <c r="D29" s="31">
        <v>5264</v>
      </c>
      <c r="E29" s="1111" t="s">
        <v>1627</v>
      </c>
      <c r="F29" s="1103">
        <v>1</v>
      </c>
      <c r="G29" s="30">
        <v>198</v>
      </c>
      <c r="H29" s="1061">
        <f>CEILING(G29,'Parametros Generales'!$C$8)</f>
        <v>200</v>
      </c>
      <c r="I29" s="1057" t="s">
        <v>73</v>
      </c>
      <c r="J29" s="1058">
        <v>200</v>
      </c>
      <c r="K29" s="1070" t="str">
        <f t="shared" si="0"/>
        <v>Ok</v>
      </c>
      <c r="L29" s="1077">
        <f t="shared" si="1"/>
        <v>0</v>
      </c>
      <c r="M29" s="1090">
        <f>+H29/'Parametros Generales'!$C$8</f>
        <v>8</v>
      </c>
      <c r="N29" s="1097"/>
      <c r="O29" s="1097"/>
      <c r="P29" s="1097"/>
      <c r="Q29" s="1097"/>
      <c r="R29" s="1097">
        <f>+(M29/'Parametros Generales'!$C$9)</f>
        <v>2</v>
      </c>
      <c r="S29" s="390"/>
      <c r="T29" s="390"/>
      <c r="U29" s="390"/>
      <c r="V29" s="389"/>
      <c r="W29" s="32">
        <f>+R29*'Componentes T.H.'!$Q$9*'Parametros Generales'!$C$6</f>
        <v>10037014.142000001</v>
      </c>
      <c r="X29" s="32">
        <f>(+VLOOKUP(C29,'Transporte y Viaticos'!$B$87:$L$120,2,0)*'Parametros Generales'!$C$7*R29)*(2/3)</f>
        <v>2250326.2831462976</v>
      </c>
      <c r="Y29" s="417"/>
      <c r="Z29" s="417"/>
      <c r="AA29" s="417"/>
      <c r="AB29" s="417">
        <f>+M29*'Parametros Generales'!$C$6*'Parametros Generales'!$J$9</f>
        <v>3895272.7272727285</v>
      </c>
      <c r="AC29" s="417">
        <f>+H29*'Parametros Generales'!$J$10*'Parametros Generales'!$C$6*'Parametros Generales'!$C$11</f>
        <v>14738498.767401624</v>
      </c>
      <c r="AD29" s="417"/>
      <c r="AE29" s="417"/>
      <c r="AF29" s="417"/>
      <c r="AG29" s="417"/>
      <c r="AH29" s="417"/>
      <c r="AI29" s="417"/>
      <c r="AJ29" s="417"/>
      <c r="AK29" s="391"/>
      <c r="AL29" s="820"/>
    </row>
    <row r="30" spans="1:38" s="33" customFormat="1" hidden="1" outlineLevel="1">
      <c r="A30" s="1150"/>
      <c r="B30" s="821">
        <v>5</v>
      </c>
      <c r="C30" s="371" t="s">
        <v>47</v>
      </c>
      <c r="D30" s="31">
        <v>5266</v>
      </c>
      <c r="E30" s="1112" t="s">
        <v>1628</v>
      </c>
      <c r="F30" s="1103">
        <v>1</v>
      </c>
      <c r="G30" s="30">
        <v>198</v>
      </c>
      <c r="H30" s="1061">
        <f>CEILING(G30,'Parametros Generales'!$C$8)</f>
        <v>200</v>
      </c>
      <c r="I30" s="1057" t="s">
        <v>74</v>
      </c>
      <c r="J30" s="1058">
        <v>200</v>
      </c>
      <c r="K30" s="1070" t="str">
        <f t="shared" si="0"/>
        <v>Ok</v>
      </c>
      <c r="L30" s="1077">
        <f t="shared" si="1"/>
        <v>0</v>
      </c>
      <c r="M30" s="1090">
        <f>+H30/'Parametros Generales'!$C$8</f>
        <v>8</v>
      </c>
      <c r="N30" s="1097"/>
      <c r="O30" s="1097"/>
      <c r="P30" s="1097"/>
      <c r="Q30" s="1097"/>
      <c r="R30" s="1097">
        <f>+(M30/'Parametros Generales'!$C$9)</f>
        <v>2</v>
      </c>
      <c r="S30" s="390"/>
      <c r="T30" s="390"/>
      <c r="U30" s="390"/>
      <c r="V30" s="389"/>
      <c r="W30" s="32">
        <f>+R30*'Componentes T.H.'!$Q$9*'Parametros Generales'!$C$6</f>
        <v>10037014.142000001</v>
      </c>
      <c r="X30" s="32">
        <f>(+VLOOKUP(C30,'Transporte y Viaticos'!$B$87:$L$120,2,0)*'Parametros Generales'!$C$7*R30)*(2/3)</f>
        <v>2250326.2831462976</v>
      </c>
      <c r="Y30" s="417"/>
      <c r="Z30" s="417"/>
      <c r="AA30" s="417"/>
      <c r="AB30" s="417">
        <f>+M30*'Parametros Generales'!$C$6*'Parametros Generales'!$J$9</f>
        <v>3895272.7272727285</v>
      </c>
      <c r="AC30" s="417">
        <f>+H30*'Parametros Generales'!$J$10*'Parametros Generales'!$C$6*'Parametros Generales'!$C$11</f>
        <v>14738498.767401624</v>
      </c>
      <c r="AD30" s="417"/>
      <c r="AE30" s="417"/>
      <c r="AF30" s="417"/>
      <c r="AG30" s="417"/>
      <c r="AH30" s="417"/>
      <c r="AI30" s="417"/>
      <c r="AJ30" s="417"/>
      <c r="AK30" s="391"/>
      <c r="AL30" s="820"/>
    </row>
    <row r="31" spans="1:38" s="33" customFormat="1" hidden="1" outlineLevel="1">
      <c r="A31" s="1150"/>
      <c r="B31" s="821">
        <v>5</v>
      </c>
      <c r="C31" s="371" t="s">
        <v>47</v>
      </c>
      <c r="D31" s="31">
        <v>5282</v>
      </c>
      <c r="E31" s="1111" t="s">
        <v>1629</v>
      </c>
      <c r="F31" s="1103">
        <v>1</v>
      </c>
      <c r="G31" s="30">
        <v>198</v>
      </c>
      <c r="H31" s="1061">
        <f>CEILING(G31,'Parametros Generales'!$C$8)</f>
        <v>200</v>
      </c>
      <c r="I31" s="1059" t="s">
        <v>75</v>
      </c>
      <c r="J31" s="1058">
        <v>200</v>
      </c>
      <c r="K31" s="1070" t="str">
        <f t="shared" si="0"/>
        <v>Ok</v>
      </c>
      <c r="L31" s="1077">
        <f t="shared" si="1"/>
        <v>0</v>
      </c>
      <c r="M31" s="1090">
        <f>+H31/'Parametros Generales'!$C$8</f>
        <v>8</v>
      </c>
      <c r="N31" s="1097"/>
      <c r="O31" s="1097"/>
      <c r="P31" s="1097"/>
      <c r="Q31" s="1097"/>
      <c r="R31" s="1097">
        <f>+(M31/'Parametros Generales'!$C$9)</f>
        <v>2</v>
      </c>
      <c r="S31" s="390"/>
      <c r="T31" s="390"/>
      <c r="U31" s="390"/>
      <c r="V31" s="389"/>
      <c r="W31" s="32">
        <f>+R31*'Componentes T.H.'!$Q$9*'Parametros Generales'!$C$6</f>
        <v>10037014.142000001</v>
      </c>
      <c r="X31" s="32">
        <f>(+VLOOKUP(C31,'Transporte y Viaticos'!$B$87:$L$120,2,0)*'Parametros Generales'!$C$7*R31)*(2/3)</f>
        <v>2250326.2831462976</v>
      </c>
      <c r="Y31" s="417"/>
      <c r="Z31" s="417"/>
      <c r="AA31" s="417"/>
      <c r="AB31" s="417">
        <f>+M31*'Parametros Generales'!$C$6*'Parametros Generales'!$J$9</f>
        <v>3895272.7272727285</v>
      </c>
      <c r="AC31" s="417">
        <f>+H31*'Parametros Generales'!$J$10*'Parametros Generales'!$C$6*'Parametros Generales'!$C$11</f>
        <v>14738498.767401624</v>
      </c>
      <c r="AD31" s="417"/>
      <c r="AE31" s="417"/>
      <c r="AF31" s="417"/>
      <c r="AG31" s="417"/>
      <c r="AH31" s="417"/>
      <c r="AI31" s="417"/>
      <c r="AJ31" s="417"/>
      <c r="AK31" s="391"/>
      <c r="AL31" s="820"/>
    </row>
    <row r="32" spans="1:38" s="33" customFormat="1" hidden="1" outlineLevel="1">
      <c r="A32" s="1150"/>
      <c r="B32" s="821">
        <v>5</v>
      </c>
      <c r="C32" s="371" t="s">
        <v>47</v>
      </c>
      <c r="D32" s="31">
        <v>5284</v>
      </c>
      <c r="E32" s="1111" t="s">
        <v>1630</v>
      </c>
      <c r="F32" s="1103">
        <v>1</v>
      </c>
      <c r="G32" s="30">
        <v>198</v>
      </c>
      <c r="H32" s="1061">
        <f>CEILING(G32,'Parametros Generales'!$C$8)</f>
        <v>200</v>
      </c>
      <c r="I32" s="1057" t="s">
        <v>76</v>
      </c>
      <c r="J32" s="1058">
        <v>200</v>
      </c>
      <c r="K32" s="1070" t="str">
        <f t="shared" si="0"/>
        <v>Ok</v>
      </c>
      <c r="L32" s="1077">
        <f t="shared" si="1"/>
        <v>0</v>
      </c>
      <c r="M32" s="1090">
        <f>+H32/'Parametros Generales'!$C$8</f>
        <v>8</v>
      </c>
      <c r="N32" s="1097"/>
      <c r="O32" s="1097"/>
      <c r="P32" s="1097"/>
      <c r="Q32" s="1097"/>
      <c r="R32" s="1097">
        <f>+(M32/'Parametros Generales'!$C$9)</f>
        <v>2</v>
      </c>
      <c r="S32" s="390"/>
      <c r="T32" s="390"/>
      <c r="U32" s="390"/>
      <c r="V32" s="389"/>
      <c r="W32" s="32">
        <f>+R32*'Componentes T.H.'!$Q$9*'Parametros Generales'!$C$6</f>
        <v>10037014.142000001</v>
      </c>
      <c r="X32" s="32">
        <f>(+VLOOKUP(C32,'Transporte y Viaticos'!$B$87:$L$120,2,0)*'Parametros Generales'!$C$7*R32)*(2/3)</f>
        <v>2250326.2831462976</v>
      </c>
      <c r="Y32" s="417"/>
      <c r="Z32" s="417"/>
      <c r="AA32" s="417"/>
      <c r="AB32" s="417">
        <f>+M32*'Parametros Generales'!$C$6*'Parametros Generales'!$J$9</f>
        <v>3895272.7272727285</v>
      </c>
      <c r="AC32" s="417">
        <f>+H32*'Parametros Generales'!$J$10*'Parametros Generales'!$C$6*'Parametros Generales'!$C$11</f>
        <v>14738498.767401624</v>
      </c>
      <c r="AD32" s="417"/>
      <c r="AE32" s="417"/>
      <c r="AF32" s="417"/>
      <c r="AG32" s="417"/>
      <c r="AH32" s="417"/>
      <c r="AI32" s="417"/>
      <c r="AJ32" s="417"/>
      <c r="AK32" s="391"/>
      <c r="AL32" s="820"/>
    </row>
    <row r="33" spans="1:38" s="33" customFormat="1" hidden="1" outlineLevel="1">
      <c r="A33" s="1150"/>
      <c r="B33" s="821">
        <v>5</v>
      </c>
      <c r="C33" s="371" t="s">
        <v>47</v>
      </c>
      <c r="D33" s="31">
        <v>5306</v>
      </c>
      <c r="E33" s="1111" t="s">
        <v>1631</v>
      </c>
      <c r="F33" s="1103">
        <v>1</v>
      </c>
      <c r="G33" s="30">
        <v>198</v>
      </c>
      <c r="H33" s="1061">
        <f>CEILING(G33,'Parametros Generales'!$C$8)</f>
        <v>200</v>
      </c>
      <c r="I33" s="1057" t="s">
        <v>77</v>
      </c>
      <c r="J33" s="1058">
        <v>200</v>
      </c>
      <c r="K33" s="1070" t="str">
        <f t="shared" si="0"/>
        <v>Ok</v>
      </c>
      <c r="L33" s="1077">
        <f t="shared" si="1"/>
        <v>0</v>
      </c>
      <c r="M33" s="1090">
        <f>+H33/'Parametros Generales'!$C$8</f>
        <v>8</v>
      </c>
      <c r="N33" s="1097"/>
      <c r="O33" s="1097"/>
      <c r="P33" s="1097"/>
      <c r="Q33" s="1097"/>
      <c r="R33" s="1097">
        <f>+(M33/'Parametros Generales'!$C$9)</f>
        <v>2</v>
      </c>
      <c r="S33" s="390"/>
      <c r="T33" s="390"/>
      <c r="U33" s="390"/>
      <c r="V33" s="389"/>
      <c r="W33" s="32">
        <f>+R33*'Componentes T.H.'!$Q$9*'Parametros Generales'!$C$6</f>
        <v>10037014.142000001</v>
      </c>
      <c r="X33" s="32">
        <f>(+VLOOKUP(C33,'Transporte y Viaticos'!$B$87:$L$120,2,0)*'Parametros Generales'!$C$7*R33)*(2/3)</f>
        <v>2250326.2831462976</v>
      </c>
      <c r="Y33" s="417"/>
      <c r="Z33" s="417"/>
      <c r="AA33" s="417"/>
      <c r="AB33" s="417">
        <f>+M33*'Parametros Generales'!$C$6*'Parametros Generales'!$J$9</f>
        <v>3895272.7272727285</v>
      </c>
      <c r="AC33" s="417">
        <f>+H33*'Parametros Generales'!$J$10*'Parametros Generales'!$C$6*'Parametros Generales'!$C$11</f>
        <v>14738498.767401624</v>
      </c>
      <c r="AD33" s="417"/>
      <c r="AE33" s="417"/>
      <c r="AF33" s="417"/>
      <c r="AG33" s="417"/>
      <c r="AH33" s="417"/>
      <c r="AI33" s="417"/>
      <c r="AJ33" s="417"/>
      <c r="AK33" s="391"/>
      <c r="AL33" s="820"/>
    </row>
    <row r="34" spans="1:38" s="33" customFormat="1" hidden="1" outlineLevel="1">
      <c r="A34" s="1150"/>
      <c r="B34" s="821">
        <v>5</v>
      </c>
      <c r="C34" s="371" t="s">
        <v>47</v>
      </c>
      <c r="D34" s="31">
        <v>5308</v>
      </c>
      <c r="E34" s="1111" t="s">
        <v>1632</v>
      </c>
      <c r="F34" s="1103">
        <v>1</v>
      </c>
      <c r="G34" s="30">
        <v>198</v>
      </c>
      <c r="H34" s="1061">
        <f>CEILING(G34,'Parametros Generales'!$C$8)</f>
        <v>200</v>
      </c>
      <c r="I34" s="1057" t="s">
        <v>78</v>
      </c>
      <c r="J34" s="1058">
        <v>200</v>
      </c>
      <c r="K34" s="1070" t="str">
        <f t="shared" si="0"/>
        <v>Ok</v>
      </c>
      <c r="L34" s="1077">
        <f t="shared" si="1"/>
        <v>0</v>
      </c>
      <c r="M34" s="1090">
        <f>+H34/'Parametros Generales'!$C$8</f>
        <v>8</v>
      </c>
      <c r="N34" s="1097"/>
      <c r="O34" s="1097"/>
      <c r="P34" s="1097"/>
      <c r="Q34" s="1097"/>
      <c r="R34" s="1097">
        <f>+(M34/'Parametros Generales'!$C$9)</f>
        <v>2</v>
      </c>
      <c r="S34" s="390"/>
      <c r="T34" s="390"/>
      <c r="U34" s="390"/>
      <c r="V34" s="389"/>
      <c r="W34" s="32">
        <f>+R34*'Componentes T.H.'!$Q$9*'Parametros Generales'!$C$6</f>
        <v>10037014.142000001</v>
      </c>
      <c r="X34" s="32">
        <f>(+VLOOKUP(C34,'Transporte y Viaticos'!$B$87:$L$120,2,0)*'Parametros Generales'!$C$7*R34)*(2/3)</f>
        <v>2250326.2831462976</v>
      </c>
      <c r="Y34" s="417"/>
      <c r="Z34" s="417"/>
      <c r="AA34" s="417"/>
      <c r="AB34" s="417">
        <f>+M34*'Parametros Generales'!$C$6*'Parametros Generales'!$J$9</f>
        <v>3895272.7272727285</v>
      </c>
      <c r="AC34" s="417">
        <f>+H34*'Parametros Generales'!$J$10*'Parametros Generales'!$C$6*'Parametros Generales'!$C$11</f>
        <v>14738498.767401624</v>
      </c>
      <c r="AD34" s="417"/>
      <c r="AE34" s="417"/>
      <c r="AF34" s="417"/>
      <c r="AG34" s="417"/>
      <c r="AH34" s="417"/>
      <c r="AI34" s="417"/>
      <c r="AJ34" s="417"/>
      <c r="AK34" s="391"/>
      <c r="AL34" s="820"/>
    </row>
    <row r="35" spans="1:38" s="33" customFormat="1" hidden="1" outlineLevel="1">
      <c r="A35" s="1150"/>
      <c r="B35" s="821">
        <v>5</v>
      </c>
      <c r="C35" s="371" t="s">
        <v>47</v>
      </c>
      <c r="D35" s="31">
        <v>5360</v>
      </c>
      <c r="E35" s="1111" t="s">
        <v>1633</v>
      </c>
      <c r="F35" s="1103">
        <v>1</v>
      </c>
      <c r="G35" s="30">
        <v>198</v>
      </c>
      <c r="H35" s="1061">
        <f>CEILING((G35-50),'Parametros Generales'!$C$8)</f>
        <v>150</v>
      </c>
      <c r="I35" s="1057" t="s">
        <v>79</v>
      </c>
      <c r="J35" s="1058">
        <v>150</v>
      </c>
      <c r="K35" s="1070" t="str">
        <f t="shared" si="0"/>
        <v>Ok</v>
      </c>
      <c r="L35" s="1077">
        <f t="shared" si="1"/>
        <v>0</v>
      </c>
      <c r="M35" s="1090">
        <f>+H35/'Parametros Generales'!$C$8</f>
        <v>6</v>
      </c>
      <c r="N35" s="1097"/>
      <c r="O35" s="1097"/>
      <c r="P35" s="1097"/>
      <c r="Q35" s="1097"/>
      <c r="R35" s="1097">
        <f>+(M35/'Parametros Generales'!$C$9)</f>
        <v>1.5</v>
      </c>
      <c r="S35" s="390"/>
      <c r="T35" s="390"/>
      <c r="U35" s="390"/>
      <c r="V35" s="389"/>
      <c r="W35" s="32">
        <f>+R35*'Componentes T.H.'!$Q$9*'Parametros Generales'!$C$6</f>
        <v>7527760.6064999998</v>
      </c>
      <c r="X35" s="32">
        <f>(+VLOOKUP(C35,'Transporte y Viaticos'!$B$87:$L$120,2,0)*'Parametros Generales'!$C$7*R35)*(2/3)</f>
        <v>1687744.7123597232</v>
      </c>
      <c r="Y35" s="417"/>
      <c r="Z35" s="417"/>
      <c r="AA35" s="417"/>
      <c r="AB35" s="417">
        <f>+M35*'Parametros Generales'!$C$6*'Parametros Generales'!$J$9</f>
        <v>2921454.5454545463</v>
      </c>
      <c r="AC35" s="417">
        <f>+H35*'Parametros Generales'!$J$10*'Parametros Generales'!$C$6*'Parametros Generales'!$C$11</f>
        <v>11053874.075551221</v>
      </c>
      <c r="AD35" s="417"/>
      <c r="AE35" s="417"/>
      <c r="AF35" s="417"/>
      <c r="AG35" s="417"/>
      <c r="AH35" s="417"/>
      <c r="AI35" s="417"/>
      <c r="AJ35" s="417"/>
      <c r="AK35" s="391"/>
      <c r="AL35" s="820"/>
    </row>
    <row r="36" spans="1:38" s="33" customFormat="1" hidden="1" outlineLevel="1">
      <c r="A36" s="1150"/>
      <c r="B36" s="821">
        <v>5</v>
      </c>
      <c r="C36" s="371" t="s">
        <v>47</v>
      </c>
      <c r="D36" s="31">
        <v>5361</v>
      </c>
      <c r="E36" s="1112" t="s">
        <v>1634</v>
      </c>
      <c r="F36" s="1103">
        <v>1</v>
      </c>
      <c r="G36" s="30">
        <v>198</v>
      </c>
      <c r="H36" s="1061">
        <f>CEILING(G36,'Parametros Generales'!$C$8)</f>
        <v>200</v>
      </c>
      <c r="I36" s="1057" t="s">
        <v>80</v>
      </c>
      <c r="J36" s="1058">
        <v>200</v>
      </c>
      <c r="K36" s="1070" t="str">
        <f t="shared" si="0"/>
        <v>Ok</v>
      </c>
      <c r="L36" s="1077">
        <f t="shared" si="1"/>
        <v>0</v>
      </c>
      <c r="M36" s="1090">
        <f>+H36/'Parametros Generales'!$C$8</f>
        <v>8</v>
      </c>
      <c r="N36" s="1097"/>
      <c r="O36" s="1097"/>
      <c r="P36" s="1097"/>
      <c r="Q36" s="1097"/>
      <c r="R36" s="1097">
        <f>+(M36/'Parametros Generales'!$C$9)</f>
        <v>2</v>
      </c>
      <c r="S36" s="390"/>
      <c r="T36" s="390"/>
      <c r="U36" s="390"/>
      <c r="V36" s="389"/>
      <c r="W36" s="32">
        <f>+R36*'Componentes T.H.'!$Q$9*'Parametros Generales'!$C$6</f>
        <v>10037014.142000001</v>
      </c>
      <c r="X36" s="32">
        <f>(+VLOOKUP(C36,'Transporte y Viaticos'!$B$87:$L$120,2,0)*'Parametros Generales'!$C$7*R36)*(2/3)</f>
        <v>2250326.2831462976</v>
      </c>
      <c r="Y36" s="417"/>
      <c r="Z36" s="417"/>
      <c r="AA36" s="417"/>
      <c r="AB36" s="417">
        <f>+M36*'Parametros Generales'!$C$6*'Parametros Generales'!$J$9</f>
        <v>3895272.7272727285</v>
      </c>
      <c r="AC36" s="417">
        <f>+H36*'Parametros Generales'!$J$10*'Parametros Generales'!$C$6*'Parametros Generales'!$C$11</f>
        <v>14738498.767401624</v>
      </c>
      <c r="AD36" s="417"/>
      <c r="AE36" s="417"/>
      <c r="AF36" s="417"/>
      <c r="AG36" s="417"/>
      <c r="AH36" s="417"/>
      <c r="AI36" s="417"/>
      <c r="AJ36" s="417"/>
      <c r="AK36" s="436"/>
      <c r="AL36" s="822"/>
    </row>
    <row r="37" spans="1:38" s="33" customFormat="1" hidden="1" outlineLevel="1">
      <c r="A37" s="1150"/>
      <c r="B37" s="821">
        <v>5</v>
      </c>
      <c r="C37" s="371" t="s">
        <v>47</v>
      </c>
      <c r="D37" s="31">
        <v>5364</v>
      </c>
      <c r="E37" s="1111" t="s">
        <v>1635</v>
      </c>
      <c r="F37" s="1103">
        <v>1</v>
      </c>
      <c r="G37" s="30">
        <v>198</v>
      </c>
      <c r="H37" s="1061">
        <f>CEILING(G37,'Parametros Generales'!$C$8)</f>
        <v>200</v>
      </c>
      <c r="I37" s="1059" t="s">
        <v>81</v>
      </c>
      <c r="J37" s="1058">
        <v>200</v>
      </c>
      <c r="K37" s="1070" t="str">
        <f t="shared" si="0"/>
        <v>Ok</v>
      </c>
      <c r="L37" s="1077">
        <f t="shared" si="1"/>
        <v>0</v>
      </c>
      <c r="M37" s="1090">
        <f>+H37/'Parametros Generales'!$C$8</f>
        <v>8</v>
      </c>
      <c r="N37" s="1097"/>
      <c r="O37" s="1097"/>
      <c r="P37" s="1097"/>
      <c r="Q37" s="1097"/>
      <c r="R37" s="1097">
        <f>+(M37/'Parametros Generales'!$C$9)</f>
        <v>2</v>
      </c>
      <c r="S37" s="390"/>
      <c r="T37" s="390"/>
      <c r="U37" s="390"/>
      <c r="V37" s="389"/>
      <c r="W37" s="32">
        <f>+R37*'Componentes T.H.'!$Q$9*'Parametros Generales'!$C$6</f>
        <v>10037014.142000001</v>
      </c>
      <c r="X37" s="32">
        <f>(+VLOOKUP(C37,'Transporte y Viaticos'!$B$87:$L$120,2,0)*'Parametros Generales'!$C$7*R37)*(2/3)</f>
        <v>2250326.2831462976</v>
      </c>
      <c r="Y37" s="417"/>
      <c r="Z37" s="417"/>
      <c r="AA37" s="417"/>
      <c r="AB37" s="417">
        <f>+M37*'Parametros Generales'!$C$6*'Parametros Generales'!$J$9</f>
        <v>3895272.7272727285</v>
      </c>
      <c r="AC37" s="417">
        <f>+H37*'Parametros Generales'!$J$10*'Parametros Generales'!$C$6*'Parametros Generales'!$C$11</f>
        <v>14738498.767401624</v>
      </c>
      <c r="AD37" s="417"/>
      <c r="AE37" s="417"/>
      <c r="AF37" s="417"/>
      <c r="AG37" s="417"/>
      <c r="AH37" s="417"/>
      <c r="AI37" s="417"/>
      <c r="AJ37" s="417"/>
      <c r="AK37" s="436"/>
      <c r="AL37" s="822"/>
    </row>
    <row r="38" spans="1:38" s="33" customFormat="1" hidden="1" outlineLevel="1">
      <c r="A38" s="1150"/>
      <c r="B38" s="821">
        <v>5</v>
      </c>
      <c r="C38" s="371" t="s">
        <v>47</v>
      </c>
      <c r="D38" s="31">
        <v>5380</v>
      </c>
      <c r="E38" s="1111" t="s">
        <v>1636</v>
      </c>
      <c r="F38" s="1103">
        <v>1</v>
      </c>
      <c r="G38" s="30">
        <v>198</v>
      </c>
      <c r="H38" s="1061">
        <f>CEILING(G38,'Parametros Generales'!$C$8)</f>
        <v>200</v>
      </c>
      <c r="I38" s="1057" t="s">
        <v>82</v>
      </c>
      <c r="J38" s="1058">
        <v>200</v>
      </c>
      <c r="K38" s="1070" t="str">
        <f t="shared" si="0"/>
        <v>Ok</v>
      </c>
      <c r="L38" s="1077">
        <f t="shared" si="1"/>
        <v>0</v>
      </c>
      <c r="M38" s="1090">
        <f>+H38/'Parametros Generales'!$C$8</f>
        <v>8</v>
      </c>
      <c r="N38" s="1097"/>
      <c r="O38" s="1097"/>
      <c r="P38" s="1097"/>
      <c r="Q38" s="1097"/>
      <c r="R38" s="1097">
        <f>+(M38/'Parametros Generales'!$C$9)</f>
        <v>2</v>
      </c>
      <c r="S38" s="390"/>
      <c r="T38" s="390"/>
      <c r="U38" s="390"/>
      <c r="V38" s="389"/>
      <c r="W38" s="32">
        <f>+R38*'Componentes T.H.'!$Q$9*'Parametros Generales'!$C$6</f>
        <v>10037014.142000001</v>
      </c>
      <c r="X38" s="32">
        <f>(+VLOOKUP(C38,'Transporte y Viaticos'!$B$87:$L$120,2,0)*'Parametros Generales'!$C$7*R38)*(2/3)</f>
        <v>2250326.2831462976</v>
      </c>
      <c r="Y38" s="417"/>
      <c r="Z38" s="417"/>
      <c r="AA38" s="417"/>
      <c r="AB38" s="417">
        <f>+M38*'Parametros Generales'!$C$6*'Parametros Generales'!$J$9</f>
        <v>3895272.7272727285</v>
      </c>
      <c r="AC38" s="417">
        <f>+H38*'Parametros Generales'!$J$10*'Parametros Generales'!$C$6*'Parametros Generales'!$C$11</f>
        <v>14738498.767401624</v>
      </c>
      <c r="AD38" s="417"/>
      <c r="AE38" s="417"/>
      <c r="AF38" s="417"/>
      <c r="AG38" s="417"/>
      <c r="AH38" s="417"/>
      <c r="AI38" s="417"/>
      <c r="AJ38" s="417"/>
      <c r="AK38" s="436"/>
      <c r="AL38" s="822"/>
    </row>
    <row r="39" spans="1:38" s="33" customFormat="1" hidden="1" outlineLevel="1">
      <c r="A39" s="1150"/>
      <c r="B39" s="821">
        <v>5</v>
      </c>
      <c r="C39" s="371" t="s">
        <v>47</v>
      </c>
      <c r="D39" s="31">
        <v>5425</v>
      </c>
      <c r="E39" s="1112" t="s">
        <v>1637</v>
      </c>
      <c r="F39" s="1103">
        <v>1</v>
      </c>
      <c r="G39" s="30">
        <v>198</v>
      </c>
      <c r="H39" s="1061">
        <f>CEILING(G39,'Parametros Generales'!$C$8)</f>
        <v>200</v>
      </c>
      <c r="I39" s="1057" t="s">
        <v>83</v>
      </c>
      <c r="J39" s="1058">
        <v>200</v>
      </c>
      <c r="K39" s="1070" t="str">
        <f t="shared" si="0"/>
        <v>Ok</v>
      </c>
      <c r="L39" s="1077">
        <f t="shared" si="1"/>
        <v>0</v>
      </c>
      <c r="M39" s="1090">
        <f>+H39/'Parametros Generales'!$C$8</f>
        <v>8</v>
      </c>
      <c r="N39" s="1097"/>
      <c r="O39" s="1097"/>
      <c r="P39" s="1097"/>
      <c r="Q39" s="1097"/>
      <c r="R39" s="1097">
        <f>+(M39/'Parametros Generales'!$C$9)</f>
        <v>2</v>
      </c>
      <c r="S39" s="390"/>
      <c r="T39" s="390"/>
      <c r="U39" s="390"/>
      <c r="V39" s="389"/>
      <c r="W39" s="32">
        <f>+R39*'Componentes T.H.'!$Q$9*'Parametros Generales'!$C$6</f>
        <v>10037014.142000001</v>
      </c>
      <c r="X39" s="32">
        <f>(+VLOOKUP(C39,'Transporte y Viaticos'!$B$87:$L$120,2,0)*'Parametros Generales'!$C$7*R39)*(2/3)</f>
        <v>2250326.2831462976</v>
      </c>
      <c r="Y39" s="417"/>
      <c r="Z39" s="417"/>
      <c r="AA39" s="417"/>
      <c r="AB39" s="417">
        <f>+M39*'Parametros Generales'!$C$6*'Parametros Generales'!$J$9</f>
        <v>3895272.7272727285</v>
      </c>
      <c r="AC39" s="417">
        <f>+H39*'Parametros Generales'!$J$10*'Parametros Generales'!$C$6*'Parametros Generales'!$C$11</f>
        <v>14738498.767401624</v>
      </c>
      <c r="AD39" s="417"/>
      <c r="AE39" s="417"/>
      <c r="AF39" s="417"/>
      <c r="AG39" s="417"/>
      <c r="AH39" s="417"/>
      <c r="AI39" s="417"/>
      <c r="AJ39" s="417"/>
      <c r="AK39" s="436"/>
      <c r="AL39" s="822"/>
    </row>
    <row r="40" spans="1:38" s="33" customFormat="1" hidden="1" outlineLevel="1">
      <c r="A40" s="1150"/>
      <c r="B40" s="821">
        <v>5</v>
      </c>
      <c r="C40" s="371" t="s">
        <v>47</v>
      </c>
      <c r="D40" s="31">
        <v>5475</v>
      </c>
      <c r="E40" s="1111" t="s">
        <v>1638</v>
      </c>
      <c r="F40" s="1103">
        <v>1</v>
      </c>
      <c r="G40" s="30">
        <v>198</v>
      </c>
      <c r="H40" s="1061">
        <f>CEILING(G40,'Parametros Generales'!$C$8)</f>
        <v>200</v>
      </c>
      <c r="I40" s="1059" t="s">
        <v>84</v>
      </c>
      <c r="J40" s="1058">
        <v>200</v>
      </c>
      <c r="K40" s="1070" t="str">
        <f t="shared" si="0"/>
        <v>Ok</v>
      </c>
      <c r="L40" s="1077">
        <f t="shared" si="1"/>
        <v>0</v>
      </c>
      <c r="M40" s="1090">
        <f>+H40/'Parametros Generales'!$C$8</f>
        <v>8</v>
      </c>
      <c r="N40" s="1097"/>
      <c r="O40" s="1097"/>
      <c r="P40" s="1097"/>
      <c r="Q40" s="1097"/>
      <c r="R40" s="1097">
        <f>+(M40/'Parametros Generales'!$C$9)</f>
        <v>2</v>
      </c>
      <c r="S40" s="390"/>
      <c r="T40" s="390"/>
      <c r="U40" s="390"/>
      <c r="V40" s="389"/>
      <c r="W40" s="32">
        <f>+R40*'Componentes T.H.'!$Q$9*'Parametros Generales'!$C$6</f>
        <v>10037014.142000001</v>
      </c>
      <c r="X40" s="32">
        <f>(+VLOOKUP(C40,'Transporte y Viaticos'!$B$87:$L$120,2,0)*'Parametros Generales'!$C$7*R40)*(2/3)</f>
        <v>2250326.2831462976</v>
      </c>
      <c r="Y40" s="417"/>
      <c r="Z40" s="417"/>
      <c r="AA40" s="417"/>
      <c r="AB40" s="417">
        <f>+M40*'Parametros Generales'!$C$6*'Parametros Generales'!$J$9</f>
        <v>3895272.7272727285</v>
      </c>
      <c r="AC40" s="417">
        <f>+H40*'Parametros Generales'!$J$10*'Parametros Generales'!$C$6*'Parametros Generales'!$C$11</f>
        <v>14738498.767401624</v>
      </c>
      <c r="AD40" s="417"/>
      <c r="AE40" s="417"/>
      <c r="AF40" s="417"/>
      <c r="AG40" s="417"/>
      <c r="AH40" s="417"/>
      <c r="AI40" s="417"/>
      <c r="AJ40" s="417"/>
      <c r="AK40" s="436"/>
      <c r="AL40" s="822"/>
    </row>
    <row r="41" spans="1:38" s="33" customFormat="1" hidden="1" outlineLevel="1">
      <c r="A41" s="1150"/>
      <c r="B41" s="821">
        <v>5</v>
      </c>
      <c r="C41" s="371" t="s">
        <v>47</v>
      </c>
      <c r="D41" s="31">
        <v>5480</v>
      </c>
      <c r="E41" s="1111" t="s">
        <v>1639</v>
      </c>
      <c r="F41" s="1103">
        <v>1</v>
      </c>
      <c r="G41" s="30">
        <v>198</v>
      </c>
      <c r="H41" s="1061">
        <f>CEILING(G41,'Parametros Generales'!$C$8)</f>
        <v>200</v>
      </c>
      <c r="I41" s="1057" t="s">
        <v>85</v>
      </c>
      <c r="J41" s="1058">
        <v>200</v>
      </c>
      <c r="K41" s="1070" t="str">
        <f t="shared" si="0"/>
        <v>Ok</v>
      </c>
      <c r="L41" s="1077">
        <f t="shared" si="1"/>
        <v>0</v>
      </c>
      <c r="M41" s="1090">
        <f>+H41/'Parametros Generales'!$C$8</f>
        <v>8</v>
      </c>
      <c r="N41" s="1097"/>
      <c r="O41" s="1097"/>
      <c r="P41" s="1097"/>
      <c r="Q41" s="1097"/>
      <c r="R41" s="1097">
        <f>+(M41/'Parametros Generales'!$C$9)</f>
        <v>2</v>
      </c>
      <c r="S41" s="390"/>
      <c r="T41" s="390"/>
      <c r="U41" s="390"/>
      <c r="V41" s="389"/>
      <c r="W41" s="32">
        <f>+R41*'Componentes T.H.'!$Q$9*'Parametros Generales'!$C$6</f>
        <v>10037014.142000001</v>
      </c>
      <c r="X41" s="32">
        <f>(+VLOOKUP(C41,'Transporte y Viaticos'!$B$87:$L$120,2,0)*'Parametros Generales'!$C$7*R41)*(2/3)</f>
        <v>2250326.2831462976</v>
      </c>
      <c r="Y41" s="417"/>
      <c r="Z41" s="417"/>
      <c r="AA41" s="417"/>
      <c r="AB41" s="417">
        <f>+M41*'Parametros Generales'!$C$6*'Parametros Generales'!$J$9</f>
        <v>3895272.7272727285</v>
      </c>
      <c r="AC41" s="417">
        <f>+H41*'Parametros Generales'!$J$10*'Parametros Generales'!$C$6*'Parametros Generales'!$C$11</f>
        <v>14738498.767401624</v>
      </c>
      <c r="AD41" s="417"/>
      <c r="AE41" s="417"/>
      <c r="AF41" s="417"/>
      <c r="AG41" s="417"/>
      <c r="AH41" s="417"/>
      <c r="AI41" s="417"/>
      <c r="AJ41" s="417"/>
      <c r="AK41" s="436"/>
      <c r="AL41" s="822"/>
    </row>
    <row r="42" spans="1:38" s="33" customFormat="1" hidden="1" outlineLevel="1">
      <c r="A42" s="1150"/>
      <c r="B42" s="821">
        <v>5</v>
      </c>
      <c r="C42" s="371" t="s">
        <v>47</v>
      </c>
      <c r="D42" s="31">
        <v>5495</v>
      </c>
      <c r="E42" s="1111" t="s">
        <v>1640</v>
      </c>
      <c r="F42" s="1103">
        <v>1</v>
      </c>
      <c r="G42" s="30">
        <v>198</v>
      </c>
      <c r="H42" s="1061">
        <f>CEILING((G42-50),'Parametros Generales'!$C$8)</f>
        <v>150</v>
      </c>
      <c r="I42" s="1057" t="s">
        <v>86</v>
      </c>
      <c r="J42" s="1058">
        <v>150</v>
      </c>
      <c r="K42" s="1070" t="str">
        <f t="shared" si="0"/>
        <v>Ok</v>
      </c>
      <c r="L42" s="1077">
        <f t="shared" si="1"/>
        <v>0</v>
      </c>
      <c r="M42" s="1090">
        <f>+H42/'Parametros Generales'!$C$8</f>
        <v>6</v>
      </c>
      <c r="N42" s="1097"/>
      <c r="O42" s="1097"/>
      <c r="P42" s="1097"/>
      <c r="Q42" s="1097"/>
      <c r="R42" s="1097">
        <f>+(M42/'Parametros Generales'!$C$9)</f>
        <v>1.5</v>
      </c>
      <c r="S42" s="390"/>
      <c r="T42" s="390"/>
      <c r="U42" s="390"/>
      <c r="V42" s="389"/>
      <c r="W42" s="32">
        <f>+R42*'Componentes T.H.'!$Q$9*'Parametros Generales'!$C$6</f>
        <v>7527760.6064999998</v>
      </c>
      <c r="X42" s="32">
        <f>(+VLOOKUP(C42,'Transporte y Viaticos'!$B$87:$L$120,2,0)*'Parametros Generales'!$C$7*R42)*(2/3)</f>
        <v>1687744.7123597232</v>
      </c>
      <c r="Y42" s="417"/>
      <c r="Z42" s="417"/>
      <c r="AA42" s="417"/>
      <c r="AB42" s="417">
        <f>+M42*'Parametros Generales'!$C$6*'Parametros Generales'!$J$9</f>
        <v>2921454.5454545463</v>
      </c>
      <c r="AC42" s="417">
        <f>+H42*'Parametros Generales'!$J$10*'Parametros Generales'!$C$6*'Parametros Generales'!$C$11</f>
        <v>11053874.075551221</v>
      </c>
      <c r="AD42" s="417"/>
      <c r="AE42" s="417"/>
      <c r="AF42" s="417"/>
      <c r="AG42" s="417"/>
      <c r="AH42" s="417"/>
      <c r="AI42" s="417"/>
      <c r="AJ42" s="417"/>
      <c r="AK42" s="436"/>
      <c r="AL42" s="822"/>
    </row>
    <row r="43" spans="1:38" s="33" customFormat="1" hidden="1" outlineLevel="1">
      <c r="A43" s="1150"/>
      <c r="B43" s="821">
        <v>5</v>
      </c>
      <c r="C43" s="371" t="s">
        <v>47</v>
      </c>
      <c r="D43" s="31">
        <v>5490</v>
      </c>
      <c r="E43" s="1111" t="s">
        <v>1641</v>
      </c>
      <c r="F43" s="1103">
        <v>1</v>
      </c>
      <c r="G43" s="30">
        <v>198</v>
      </c>
      <c r="H43" s="1061">
        <f>CEILING(G43,'Parametros Generales'!$C$8)</f>
        <v>200</v>
      </c>
      <c r="I43" s="1057" t="s">
        <v>87</v>
      </c>
      <c r="J43" s="1058">
        <v>200</v>
      </c>
      <c r="K43" s="1070" t="str">
        <f t="shared" si="0"/>
        <v>Ok</v>
      </c>
      <c r="L43" s="1077">
        <f t="shared" si="1"/>
        <v>0</v>
      </c>
      <c r="M43" s="1090">
        <f>+H43/'Parametros Generales'!$C$8</f>
        <v>8</v>
      </c>
      <c r="N43" s="1097"/>
      <c r="O43" s="1097"/>
      <c r="P43" s="1097"/>
      <c r="Q43" s="1097"/>
      <c r="R43" s="1097">
        <f>+(M43/'Parametros Generales'!$C$9)</f>
        <v>2</v>
      </c>
      <c r="S43" s="390"/>
      <c r="T43" s="390"/>
      <c r="U43" s="390"/>
      <c r="V43" s="389"/>
      <c r="W43" s="32">
        <f>+R43*'Componentes T.H.'!$Q$9*'Parametros Generales'!$C$6</f>
        <v>10037014.142000001</v>
      </c>
      <c r="X43" s="32">
        <f>(+VLOOKUP(C43,'Transporte y Viaticos'!$B$87:$L$120,2,0)*'Parametros Generales'!$C$7*R43)*(2/3)</f>
        <v>2250326.2831462976</v>
      </c>
      <c r="Y43" s="417"/>
      <c r="Z43" s="417"/>
      <c r="AA43" s="417"/>
      <c r="AB43" s="417">
        <f>+M43*'Parametros Generales'!$C$6*'Parametros Generales'!$J$9</f>
        <v>3895272.7272727285</v>
      </c>
      <c r="AC43" s="417">
        <f>+H43*'Parametros Generales'!$J$10*'Parametros Generales'!$C$6*'Parametros Generales'!$C$11</f>
        <v>14738498.767401624</v>
      </c>
      <c r="AD43" s="417"/>
      <c r="AE43" s="417"/>
      <c r="AF43" s="417"/>
      <c r="AG43" s="417"/>
      <c r="AH43" s="417"/>
      <c r="AI43" s="417"/>
      <c r="AJ43" s="417"/>
      <c r="AK43" s="436"/>
      <c r="AL43" s="822"/>
    </row>
    <row r="44" spans="1:38" s="33" customFormat="1" hidden="1" outlineLevel="1">
      <c r="A44" s="1150"/>
      <c r="B44" s="821">
        <v>5</v>
      </c>
      <c r="C44" s="371" t="s">
        <v>47</v>
      </c>
      <c r="D44" s="31">
        <v>5501</v>
      </c>
      <c r="E44" s="1111" t="s">
        <v>1642</v>
      </c>
      <c r="F44" s="1103">
        <v>1</v>
      </c>
      <c r="G44" s="30">
        <v>198</v>
      </c>
      <c r="H44" s="1061">
        <f>CEILING(G44,'Parametros Generales'!$C$8)</f>
        <v>200</v>
      </c>
      <c r="I44" s="1057" t="s">
        <v>88</v>
      </c>
      <c r="J44" s="1058">
        <v>200</v>
      </c>
      <c r="K44" s="1070" t="str">
        <f t="shared" si="0"/>
        <v>Ok</v>
      </c>
      <c r="L44" s="1077">
        <f t="shared" si="1"/>
        <v>0</v>
      </c>
      <c r="M44" s="1090">
        <f>+H44/'Parametros Generales'!$C$8</f>
        <v>8</v>
      </c>
      <c r="N44" s="1097"/>
      <c r="O44" s="1097"/>
      <c r="P44" s="1097"/>
      <c r="Q44" s="1097"/>
      <c r="R44" s="1097">
        <f>+(M44/'Parametros Generales'!$C$9)</f>
        <v>2</v>
      </c>
      <c r="S44" s="390"/>
      <c r="T44" s="390"/>
      <c r="U44" s="390"/>
      <c r="V44" s="389"/>
      <c r="W44" s="32">
        <f>+R44*'Componentes T.H.'!$Q$9*'Parametros Generales'!$C$6</f>
        <v>10037014.142000001</v>
      </c>
      <c r="X44" s="32">
        <f>(+VLOOKUP(C44,'Transporte y Viaticos'!$B$87:$L$120,2,0)*'Parametros Generales'!$C$7*R44)*(2/3)</f>
        <v>2250326.2831462976</v>
      </c>
      <c r="Y44" s="417"/>
      <c r="Z44" s="417"/>
      <c r="AA44" s="417"/>
      <c r="AB44" s="417">
        <f>+M44*'Parametros Generales'!$C$6*'Parametros Generales'!$J$9</f>
        <v>3895272.7272727285</v>
      </c>
      <c r="AC44" s="417">
        <f>+H44*'Parametros Generales'!$J$10*'Parametros Generales'!$C$6*'Parametros Generales'!$C$11</f>
        <v>14738498.767401624</v>
      </c>
      <c r="AD44" s="417"/>
      <c r="AE44" s="417"/>
      <c r="AF44" s="417"/>
      <c r="AG44" s="417"/>
      <c r="AH44" s="417"/>
      <c r="AI44" s="417"/>
      <c r="AJ44" s="417"/>
      <c r="AK44" s="436"/>
      <c r="AL44" s="822"/>
    </row>
    <row r="45" spans="1:38" s="33" customFormat="1" hidden="1" outlineLevel="1">
      <c r="A45" s="1150"/>
      <c r="B45" s="821">
        <v>5</v>
      </c>
      <c r="C45" s="371" t="s">
        <v>47</v>
      </c>
      <c r="D45" s="31">
        <v>5543</v>
      </c>
      <c r="E45" s="1111" t="s">
        <v>1643</v>
      </c>
      <c r="F45" s="1103">
        <v>1</v>
      </c>
      <c r="G45" s="30">
        <v>198</v>
      </c>
      <c r="H45" s="1061">
        <f>CEILING(G45,'Parametros Generales'!$C$8)</f>
        <v>200</v>
      </c>
      <c r="I45" s="1057" t="s">
        <v>89</v>
      </c>
      <c r="J45" s="1058">
        <v>200</v>
      </c>
      <c r="K45" s="1070" t="str">
        <f t="shared" si="0"/>
        <v>Ok</v>
      </c>
      <c r="L45" s="1077">
        <f t="shared" si="1"/>
        <v>0</v>
      </c>
      <c r="M45" s="1090">
        <f>+H45/'Parametros Generales'!$C$8</f>
        <v>8</v>
      </c>
      <c r="N45" s="1097"/>
      <c r="O45" s="1097"/>
      <c r="P45" s="1097"/>
      <c r="Q45" s="1097"/>
      <c r="R45" s="1097">
        <f>+(M45/'Parametros Generales'!$C$9)</f>
        <v>2</v>
      </c>
      <c r="S45" s="390"/>
      <c r="T45" s="390"/>
      <c r="U45" s="390"/>
      <c r="V45" s="389"/>
      <c r="W45" s="32">
        <f>+R45*'Componentes T.H.'!$Q$9*'Parametros Generales'!$C$6</f>
        <v>10037014.142000001</v>
      </c>
      <c r="X45" s="32">
        <f>(+VLOOKUP(C45,'Transporte y Viaticos'!$B$87:$L$120,2,0)*'Parametros Generales'!$C$7*R45)*(2/3)</f>
        <v>2250326.2831462976</v>
      </c>
      <c r="Y45" s="417"/>
      <c r="Z45" s="417"/>
      <c r="AA45" s="417"/>
      <c r="AB45" s="417">
        <f>+M45*'Parametros Generales'!$C$6*'Parametros Generales'!$J$9</f>
        <v>3895272.7272727285</v>
      </c>
      <c r="AC45" s="417">
        <f>+H45*'Parametros Generales'!$J$10*'Parametros Generales'!$C$6*'Parametros Generales'!$C$11</f>
        <v>14738498.767401624</v>
      </c>
      <c r="AD45" s="417"/>
      <c r="AE45" s="417"/>
      <c r="AF45" s="417"/>
      <c r="AG45" s="417"/>
      <c r="AH45" s="417"/>
      <c r="AI45" s="417"/>
      <c r="AJ45" s="417"/>
      <c r="AK45" s="436"/>
      <c r="AL45" s="822"/>
    </row>
    <row r="46" spans="1:38" s="33" customFormat="1" hidden="1" outlineLevel="1">
      <c r="A46" s="1150"/>
      <c r="B46" s="821">
        <v>5</v>
      </c>
      <c r="C46" s="371" t="s">
        <v>47</v>
      </c>
      <c r="D46" s="31">
        <v>5579</v>
      </c>
      <c r="E46" s="1111" t="s">
        <v>1644</v>
      </c>
      <c r="F46" s="1103">
        <v>1</v>
      </c>
      <c r="G46" s="30">
        <v>198</v>
      </c>
      <c r="H46" s="1061">
        <f>CEILING(G46,'Parametros Generales'!$C$8)</f>
        <v>200</v>
      </c>
      <c r="I46" s="1057" t="s">
        <v>90</v>
      </c>
      <c r="J46" s="1058">
        <v>200</v>
      </c>
      <c r="K46" s="1070" t="str">
        <f t="shared" si="0"/>
        <v>Ok</v>
      </c>
      <c r="L46" s="1077">
        <f t="shared" si="1"/>
        <v>0</v>
      </c>
      <c r="M46" s="1090">
        <f>+H46/'Parametros Generales'!$C$8</f>
        <v>8</v>
      </c>
      <c r="N46" s="1097"/>
      <c r="O46" s="1097"/>
      <c r="P46" s="1097"/>
      <c r="Q46" s="1097"/>
      <c r="R46" s="1097">
        <f>+(M46/'Parametros Generales'!$C$9)</f>
        <v>2</v>
      </c>
      <c r="S46" s="390"/>
      <c r="T46" s="390"/>
      <c r="U46" s="390"/>
      <c r="V46" s="389"/>
      <c r="W46" s="32">
        <f>+R46*'Componentes T.H.'!$Q$9*'Parametros Generales'!$C$6</f>
        <v>10037014.142000001</v>
      </c>
      <c r="X46" s="32">
        <f>(+VLOOKUP(C46,'Transporte y Viaticos'!$B$87:$L$120,2,0)*'Parametros Generales'!$C$7*R46)*(2/3)</f>
        <v>2250326.2831462976</v>
      </c>
      <c r="Y46" s="417"/>
      <c r="Z46" s="417"/>
      <c r="AA46" s="417"/>
      <c r="AB46" s="417">
        <f>+M46*'Parametros Generales'!$C$6*'Parametros Generales'!$J$9</f>
        <v>3895272.7272727285</v>
      </c>
      <c r="AC46" s="417">
        <f>+H46*'Parametros Generales'!$J$10*'Parametros Generales'!$C$6*'Parametros Generales'!$C$11</f>
        <v>14738498.767401624</v>
      </c>
      <c r="AD46" s="417"/>
      <c r="AE46" s="417"/>
      <c r="AF46" s="417"/>
      <c r="AG46" s="417"/>
      <c r="AH46" s="417"/>
      <c r="AI46" s="417"/>
      <c r="AJ46" s="417"/>
      <c r="AK46" s="436"/>
      <c r="AL46" s="822"/>
    </row>
    <row r="47" spans="1:38" s="33" customFormat="1" hidden="1" outlineLevel="1">
      <c r="A47" s="1150"/>
      <c r="B47" s="821">
        <v>5</v>
      </c>
      <c r="C47" s="371" t="s">
        <v>47</v>
      </c>
      <c r="D47" s="31">
        <v>5591</v>
      </c>
      <c r="E47" s="1111" t="s">
        <v>1645</v>
      </c>
      <c r="F47" s="1103">
        <v>1</v>
      </c>
      <c r="G47" s="30">
        <v>198</v>
      </c>
      <c r="H47" s="1061">
        <f>CEILING(G47,'Parametros Generales'!$C$8)</f>
        <v>200</v>
      </c>
      <c r="I47" s="1057" t="s">
        <v>91</v>
      </c>
      <c r="J47" s="1058">
        <v>200</v>
      </c>
      <c r="K47" s="1070" t="str">
        <f t="shared" si="0"/>
        <v>Ok</v>
      </c>
      <c r="L47" s="1077">
        <f t="shared" si="1"/>
        <v>0</v>
      </c>
      <c r="M47" s="1090">
        <f>+H47/'Parametros Generales'!$C$8</f>
        <v>8</v>
      </c>
      <c r="N47" s="1097"/>
      <c r="O47" s="1097"/>
      <c r="P47" s="1097"/>
      <c r="Q47" s="1097"/>
      <c r="R47" s="1097">
        <f>+(M47/'Parametros Generales'!$C$9)</f>
        <v>2</v>
      </c>
      <c r="S47" s="390"/>
      <c r="T47" s="390"/>
      <c r="U47" s="390"/>
      <c r="V47" s="389"/>
      <c r="W47" s="32">
        <f>+R47*'Componentes T.H.'!$Q$9*'Parametros Generales'!$C$6</f>
        <v>10037014.142000001</v>
      </c>
      <c r="X47" s="32">
        <f>(+VLOOKUP(C47,'Transporte y Viaticos'!$B$87:$L$120,2,0)*'Parametros Generales'!$C$7*R47)*(2/3)</f>
        <v>2250326.2831462976</v>
      </c>
      <c r="Y47" s="417"/>
      <c r="Z47" s="417"/>
      <c r="AA47" s="417"/>
      <c r="AB47" s="417">
        <f>+M47*'Parametros Generales'!$C$6*'Parametros Generales'!$J$9</f>
        <v>3895272.7272727285</v>
      </c>
      <c r="AC47" s="417">
        <f>+H47*'Parametros Generales'!$J$10*'Parametros Generales'!$C$6*'Parametros Generales'!$C$11</f>
        <v>14738498.767401624</v>
      </c>
      <c r="AD47" s="417"/>
      <c r="AE47" s="417"/>
      <c r="AF47" s="417"/>
      <c r="AG47" s="417"/>
      <c r="AH47" s="417"/>
      <c r="AI47" s="417"/>
      <c r="AJ47" s="417"/>
      <c r="AK47" s="436"/>
      <c r="AL47" s="822"/>
    </row>
    <row r="48" spans="1:38" s="33" customFormat="1" hidden="1" outlineLevel="1">
      <c r="A48" s="1150"/>
      <c r="B48" s="821">
        <v>5</v>
      </c>
      <c r="C48" s="371" t="s">
        <v>47</v>
      </c>
      <c r="D48" s="31">
        <v>5604</v>
      </c>
      <c r="E48" s="1111" t="s">
        <v>1646</v>
      </c>
      <c r="F48" s="1103">
        <v>1</v>
      </c>
      <c r="G48" s="30">
        <v>198</v>
      </c>
      <c r="H48" s="1061">
        <f>CEILING(G48,'Parametros Generales'!$C$8)</f>
        <v>200</v>
      </c>
      <c r="I48" s="1057" t="s">
        <v>92</v>
      </c>
      <c r="J48" s="1058">
        <v>200</v>
      </c>
      <c r="K48" s="1070" t="str">
        <f t="shared" si="0"/>
        <v>Ok</v>
      </c>
      <c r="L48" s="1077">
        <f t="shared" si="1"/>
        <v>0</v>
      </c>
      <c r="M48" s="1090">
        <f>+H48/'Parametros Generales'!$C$8</f>
        <v>8</v>
      </c>
      <c r="N48" s="1097"/>
      <c r="O48" s="1097"/>
      <c r="P48" s="1097"/>
      <c r="Q48" s="1097"/>
      <c r="R48" s="1097">
        <f>+(M48/'Parametros Generales'!$C$9)</f>
        <v>2</v>
      </c>
      <c r="S48" s="390"/>
      <c r="T48" s="390"/>
      <c r="U48" s="390"/>
      <c r="V48" s="389"/>
      <c r="W48" s="32">
        <f>+R48*'Componentes T.H.'!$Q$9*'Parametros Generales'!$C$6</f>
        <v>10037014.142000001</v>
      </c>
      <c r="X48" s="32">
        <f>(+VLOOKUP(C48,'Transporte y Viaticos'!$B$87:$L$120,2,0)*'Parametros Generales'!$C$7*R48)*(2/3)</f>
        <v>2250326.2831462976</v>
      </c>
      <c r="Y48" s="417"/>
      <c r="Z48" s="417"/>
      <c r="AA48" s="417"/>
      <c r="AB48" s="417">
        <f>+M48*'Parametros Generales'!$C$6*'Parametros Generales'!$J$9</f>
        <v>3895272.7272727285</v>
      </c>
      <c r="AC48" s="417">
        <f>+H48*'Parametros Generales'!$J$10*'Parametros Generales'!$C$6*'Parametros Generales'!$C$11</f>
        <v>14738498.767401624</v>
      </c>
      <c r="AD48" s="417"/>
      <c r="AE48" s="417"/>
      <c r="AF48" s="417"/>
      <c r="AG48" s="417"/>
      <c r="AH48" s="417"/>
      <c r="AI48" s="417"/>
      <c r="AJ48" s="417"/>
      <c r="AK48" s="436"/>
      <c r="AL48" s="822"/>
    </row>
    <row r="49" spans="1:38" s="33" customFormat="1" hidden="1" outlineLevel="1">
      <c r="A49" s="1150"/>
      <c r="B49" s="821">
        <v>5</v>
      </c>
      <c r="C49" s="371" t="s">
        <v>47</v>
      </c>
      <c r="D49" s="31">
        <v>5631</v>
      </c>
      <c r="E49" s="1112" t="s">
        <v>1647</v>
      </c>
      <c r="F49" s="1103">
        <v>1</v>
      </c>
      <c r="G49" s="30">
        <v>198</v>
      </c>
      <c r="H49" s="1061">
        <f>CEILING(G49,'Parametros Generales'!$C$8)</f>
        <v>200</v>
      </c>
      <c r="I49" s="1057" t="s">
        <v>93</v>
      </c>
      <c r="J49" s="1058">
        <v>200</v>
      </c>
      <c r="K49" s="1070" t="str">
        <f t="shared" si="0"/>
        <v>Ok</v>
      </c>
      <c r="L49" s="1077">
        <f t="shared" si="1"/>
        <v>0</v>
      </c>
      <c r="M49" s="1090">
        <f>+H49/'Parametros Generales'!$C$8</f>
        <v>8</v>
      </c>
      <c r="N49" s="1097"/>
      <c r="O49" s="1097"/>
      <c r="P49" s="1097"/>
      <c r="Q49" s="1097"/>
      <c r="R49" s="1097">
        <f>+(M49/'Parametros Generales'!$C$9)</f>
        <v>2</v>
      </c>
      <c r="S49" s="390"/>
      <c r="T49" s="390"/>
      <c r="U49" s="390"/>
      <c r="V49" s="389"/>
      <c r="W49" s="32">
        <f>+R49*'Componentes T.H.'!$Q$9*'Parametros Generales'!$C$6</f>
        <v>10037014.142000001</v>
      </c>
      <c r="X49" s="32">
        <f>(+VLOOKUP(C49,'Transporte y Viaticos'!$B$87:$L$120,2,0)*'Parametros Generales'!$C$7*R49)*(2/3)</f>
        <v>2250326.2831462976</v>
      </c>
      <c r="Y49" s="417"/>
      <c r="Z49" s="417"/>
      <c r="AA49" s="417"/>
      <c r="AB49" s="417">
        <f>+M49*'Parametros Generales'!$C$6*'Parametros Generales'!$J$9</f>
        <v>3895272.7272727285</v>
      </c>
      <c r="AC49" s="417">
        <f>+H49*'Parametros Generales'!$J$10*'Parametros Generales'!$C$6*'Parametros Generales'!$C$11</f>
        <v>14738498.767401624</v>
      </c>
      <c r="AD49" s="417"/>
      <c r="AE49" s="417"/>
      <c r="AF49" s="417"/>
      <c r="AG49" s="417"/>
      <c r="AH49" s="417"/>
      <c r="AI49" s="417"/>
      <c r="AJ49" s="417"/>
      <c r="AK49" s="436"/>
      <c r="AL49" s="822"/>
    </row>
    <row r="50" spans="1:38" s="33" customFormat="1" hidden="1" outlineLevel="1">
      <c r="A50" s="1150"/>
      <c r="B50" s="821">
        <v>5</v>
      </c>
      <c r="C50" s="371" t="s">
        <v>47</v>
      </c>
      <c r="D50" s="31">
        <v>5642</v>
      </c>
      <c r="E50" s="1111" t="s">
        <v>1648</v>
      </c>
      <c r="F50" s="1103">
        <v>1</v>
      </c>
      <c r="G50" s="30">
        <v>198</v>
      </c>
      <c r="H50" s="1061">
        <f>CEILING(G50,'Parametros Generales'!$C$8)</f>
        <v>200</v>
      </c>
      <c r="I50" s="1059" t="s">
        <v>94</v>
      </c>
      <c r="J50" s="1058">
        <v>200</v>
      </c>
      <c r="K50" s="1070" t="str">
        <f t="shared" si="0"/>
        <v>Ok</v>
      </c>
      <c r="L50" s="1077">
        <f t="shared" si="1"/>
        <v>0</v>
      </c>
      <c r="M50" s="1090">
        <f>+H50/'Parametros Generales'!$C$8</f>
        <v>8</v>
      </c>
      <c r="N50" s="1097"/>
      <c r="O50" s="1097"/>
      <c r="P50" s="1097"/>
      <c r="Q50" s="1097"/>
      <c r="R50" s="1097">
        <f>+(M50/'Parametros Generales'!$C$9)</f>
        <v>2</v>
      </c>
      <c r="S50" s="390"/>
      <c r="T50" s="390"/>
      <c r="U50" s="390"/>
      <c r="V50" s="389"/>
      <c r="W50" s="32">
        <f>+R50*'Componentes T.H.'!$Q$9*'Parametros Generales'!$C$6</f>
        <v>10037014.142000001</v>
      </c>
      <c r="X50" s="32">
        <f>(+VLOOKUP(C50,'Transporte y Viaticos'!$B$87:$L$120,2,0)*'Parametros Generales'!$C$7*R50)*(2/3)</f>
        <v>2250326.2831462976</v>
      </c>
      <c r="Y50" s="417"/>
      <c r="Z50" s="417"/>
      <c r="AA50" s="417"/>
      <c r="AB50" s="417">
        <f>+M50*'Parametros Generales'!$C$6*'Parametros Generales'!$J$9</f>
        <v>3895272.7272727285</v>
      </c>
      <c r="AC50" s="417">
        <f>+H50*'Parametros Generales'!$J$10*'Parametros Generales'!$C$6*'Parametros Generales'!$C$11</f>
        <v>14738498.767401624</v>
      </c>
      <c r="AD50" s="417"/>
      <c r="AE50" s="417"/>
      <c r="AF50" s="417"/>
      <c r="AG50" s="417"/>
      <c r="AH50" s="417"/>
      <c r="AI50" s="417"/>
      <c r="AJ50" s="417"/>
      <c r="AK50" s="436"/>
      <c r="AL50" s="822"/>
    </row>
    <row r="51" spans="1:38" s="33" customFormat="1" hidden="1" outlineLevel="1">
      <c r="A51" s="1150"/>
      <c r="B51" s="821">
        <v>5</v>
      </c>
      <c r="C51" s="371" t="s">
        <v>47</v>
      </c>
      <c r="D51" s="31">
        <v>5659</v>
      </c>
      <c r="E51" s="1111" t="s">
        <v>1649</v>
      </c>
      <c r="F51" s="1103">
        <v>1</v>
      </c>
      <c r="G51" s="30">
        <v>198</v>
      </c>
      <c r="H51" s="1061">
        <f>CEILING(G51,'Parametros Generales'!$C$8)</f>
        <v>200</v>
      </c>
      <c r="I51" s="1057" t="s">
        <v>95</v>
      </c>
      <c r="J51" s="1058">
        <v>200</v>
      </c>
      <c r="K51" s="1070" t="str">
        <f t="shared" si="0"/>
        <v>Ok</v>
      </c>
      <c r="L51" s="1077">
        <f t="shared" si="1"/>
        <v>0</v>
      </c>
      <c r="M51" s="1090">
        <f>+H51/'Parametros Generales'!$C$8</f>
        <v>8</v>
      </c>
      <c r="N51" s="1097"/>
      <c r="O51" s="1097"/>
      <c r="P51" s="1097"/>
      <c r="Q51" s="1097"/>
      <c r="R51" s="1097">
        <f>+(M51/'Parametros Generales'!$C$9)</f>
        <v>2</v>
      </c>
      <c r="S51" s="390"/>
      <c r="T51" s="390"/>
      <c r="U51" s="390"/>
      <c r="V51" s="389"/>
      <c r="W51" s="32">
        <f>+R51*'Componentes T.H.'!$Q$9*'Parametros Generales'!$C$6</f>
        <v>10037014.142000001</v>
      </c>
      <c r="X51" s="32">
        <f>(+VLOOKUP(C51,'Transporte y Viaticos'!$B$87:$L$120,2,0)*'Parametros Generales'!$C$7*R51)*(2/3)</f>
        <v>2250326.2831462976</v>
      </c>
      <c r="Y51" s="417"/>
      <c r="Z51" s="417"/>
      <c r="AA51" s="417"/>
      <c r="AB51" s="417">
        <f>+M51*'Parametros Generales'!$C$6*'Parametros Generales'!$J$9</f>
        <v>3895272.7272727285</v>
      </c>
      <c r="AC51" s="417">
        <f>+H51*'Parametros Generales'!$J$10*'Parametros Generales'!$C$6*'Parametros Generales'!$C$11</f>
        <v>14738498.767401624</v>
      </c>
      <c r="AD51" s="417"/>
      <c r="AE51" s="417"/>
      <c r="AF51" s="417"/>
      <c r="AG51" s="417"/>
      <c r="AH51" s="417"/>
      <c r="AI51" s="417"/>
      <c r="AJ51" s="417"/>
      <c r="AK51" s="436"/>
      <c r="AL51" s="822"/>
    </row>
    <row r="52" spans="1:38" s="33" customFormat="1" hidden="1" outlineLevel="1">
      <c r="A52" s="1150"/>
      <c r="B52" s="821">
        <v>5</v>
      </c>
      <c r="C52" s="371" t="s">
        <v>47</v>
      </c>
      <c r="D52" s="31">
        <v>5665</v>
      </c>
      <c r="E52" s="1111" t="s">
        <v>1650</v>
      </c>
      <c r="F52" s="1103">
        <v>1</v>
      </c>
      <c r="G52" s="30">
        <v>198</v>
      </c>
      <c r="H52" s="1061">
        <f>CEILING(G52,'Parametros Generales'!$C$8)</f>
        <v>200</v>
      </c>
      <c r="I52" s="1057" t="s">
        <v>96</v>
      </c>
      <c r="J52" s="1058">
        <v>200</v>
      </c>
      <c r="K52" s="1070" t="str">
        <f t="shared" si="0"/>
        <v>Ok</v>
      </c>
      <c r="L52" s="1077">
        <f t="shared" si="1"/>
        <v>0</v>
      </c>
      <c r="M52" s="1090">
        <f>+H52/'Parametros Generales'!$C$8</f>
        <v>8</v>
      </c>
      <c r="N52" s="1097"/>
      <c r="O52" s="1097"/>
      <c r="P52" s="1097"/>
      <c r="Q52" s="1097"/>
      <c r="R52" s="1097">
        <f>+(M52/'Parametros Generales'!$C$9)</f>
        <v>2</v>
      </c>
      <c r="S52" s="390"/>
      <c r="T52" s="390"/>
      <c r="U52" s="390"/>
      <c r="V52" s="389"/>
      <c r="W52" s="32">
        <f>+R52*'Componentes T.H.'!$Q$9*'Parametros Generales'!$C$6</f>
        <v>10037014.142000001</v>
      </c>
      <c r="X52" s="32">
        <f>(+VLOOKUP(C52,'Transporte y Viaticos'!$B$87:$L$120,2,0)*'Parametros Generales'!$C$7*R52)*(2/3)</f>
        <v>2250326.2831462976</v>
      </c>
      <c r="Y52" s="417"/>
      <c r="Z52" s="417"/>
      <c r="AA52" s="417"/>
      <c r="AB52" s="417">
        <f>+M52*'Parametros Generales'!$C$6*'Parametros Generales'!$J$9</f>
        <v>3895272.7272727285</v>
      </c>
      <c r="AC52" s="417">
        <f>+H52*'Parametros Generales'!$J$10*'Parametros Generales'!$C$6*'Parametros Generales'!$C$11</f>
        <v>14738498.767401624</v>
      </c>
      <c r="AD52" s="417"/>
      <c r="AE52" s="417"/>
      <c r="AF52" s="417"/>
      <c r="AG52" s="417"/>
      <c r="AH52" s="417"/>
      <c r="AI52" s="417"/>
      <c r="AJ52" s="417"/>
      <c r="AK52" s="436"/>
      <c r="AL52" s="822"/>
    </row>
    <row r="53" spans="1:38" s="33" customFormat="1" hidden="1" outlineLevel="1">
      <c r="A53" s="1150"/>
      <c r="B53" s="821">
        <v>5</v>
      </c>
      <c r="C53" s="371" t="s">
        <v>47</v>
      </c>
      <c r="D53" s="31">
        <v>5670</v>
      </c>
      <c r="E53" s="1111" t="s">
        <v>1651</v>
      </c>
      <c r="F53" s="1103">
        <v>1</v>
      </c>
      <c r="G53" s="30">
        <v>198</v>
      </c>
      <c r="H53" s="1061">
        <f>CEILING(G53,'Parametros Generales'!$C$8)</f>
        <v>200</v>
      </c>
      <c r="I53" s="1057" t="s">
        <v>97</v>
      </c>
      <c r="J53" s="1058">
        <v>200</v>
      </c>
      <c r="K53" s="1070" t="str">
        <f t="shared" si="0"/>
        <v>Ok</v>
      </c>
      <c r="L53" s="1077">
        <f t="shared" si="1"/>
        <v>0</v>
      </c>
      <c r="M53" s="1090">
        <f>+H53/'Parametros Generales'!$C$8</f>
        <v>8</v>
      </c>
      <c r="N53" s="1097"/>
      <c r="O53" s="1097"/>
      <c r="P53" s="1097"/>
      <c r="Q53" s="1097"/>
      <c r="R53" s="1097">
        <f>+(M53/'Parametros Generales'!$C$9)</f>
        <v>2</v>
      </c>
      <c r="S53" s="390"/>
      <c r="T53" s="390"/>
      <c r="U53" s="390"/>
      <c r="V53" s="389"/>
      <c r="W53" s="32">
        <f>+R53*'Componentes T.H.'!$Q$9*'Parametros Generales'!$C$6</f>
        <v>10037014.142000001</v>
      </c>
      <c r="X53" s="32">
        <f>(+VLOOKUP(C53,'Transporte y Viaticos'!$B$87:$L$120,2,0)*'Parametros Generales'!$C$7*R53)*(2/3)</f>
        <v>2250326.2831462976</v>
      </c>
      <c r="Y53" s="417"/>
      <c r="Z53" s="417"/>
      <c r="AA53" s="417"/>
      <c r="AB53" s="417">
        <f>+M53*'Parametros Generales'!$C$6*'Parametros Generales'!$J$9</f>
        <v>3895272.7272727285</v>
      </c>
      <c r="AC53" s="417">
        <f>+H53*'Parametros Generales'!$J$10*'Parametros Generales'!$C$6*'Parametros Generales'!$C$11</f>
        <v>14738498.767401624</v>
      </c>
      <c r="AD53" s="417"/>
      <c r="AE53" s="417"/>
      <c r="AF53" s="417"/>
      <c r="AG53" s="417"/>
      <c r="AH53" s="417"/>
      <c r="AI53" s="417"/>
      <c r="AJ53" s="417"/>
      <c r="AK53" s="436"/>
      <c r="AL53" s="822"/>
    </row>
    <row r="54" spans="1:38" s="33" customFormat="1" hidden="1" outlineLevel="1">
      <c r="A54" s="1150"/>
      <c r="B54" s="821">
        <v>5</v>
      </c>
      <c r="C54" s="371" t="s">
        <v>47</v>
      </c>
      <c r="D54" s="31">
        <v>5042</v>
      </c>
      <c r="E54" s="1112" t="s">
        <v>1652</v>
      </c>
      <c r="F54" s="1103">
        <v>1</v>
      </c>
      <c r="G54" s="30">
        <v>198</v>
      </c>
      <c r="H54" s="1061">
        <f>CEILING(G54,'Parametros Generales'!$C$8)</f>
        <v>200</v>
      </c>
      <c r="I54" s="1057" t="s">
        <v>98</v>
      </c>
      <c r="J54" s="1058">
        <v>200</v>
      </c>
      <c r="K54" s="1070" t="str">
        <f t="shared" si="0"/>
        <v>Ok</v>
      </c>
      <c r="L54" s="1077">
        <f t="shared" si="1"/>
        <v>0</v>
      </c>
      <c r="M54" s="1090">
        <f>+H54/'Parametros Generales'!$C$8</f>
        <v>8</v>
      </c>
      <c r="N54" s="1097"/>
      <c r="O54" s="1097"/>
      <c r="P54" s="1097"/>
      <c r="Q54" s="1097"/>
      <c r="R54" s="1097">
        <f>+(M54/'Parametros Generales'!$C$9)</f>
        <v>2</v>
      </c>
      <c r="S54" s="390"/>
      <c r="T54" s="390"/>
      <c r="U54" s="390"/>
      <c r="V54" s="389"/>
      <c r="W54" s="32">
        <f>+R54*'Componentes T.H.'!$Q$9*'Parametros Generales'!$C$6</f>
        <v>10037014.142000001</v>
      </c>
      <c r="X54" s="32">
        <f>(+VLOOKUP(C54,'Transporte y Viaticos'!$B$87:$L$120,2,0)*'Parametros Generales'!$C$7*R54)*(2/3)</f>
        <v>2250326.2831462976</v>
      </c>
      <c r="Y54" s="417"/>
      <c r="Z54" s="417"/>
      <c r="AA54" s="417"/>
      <c r="AB54" s="417">
        <f>+M54*'Parametros Generales'!$C$6*'Parametros Generales'!$J$9</f>
        <v>3895272.7272727285</v>
      </c>
      <c r="AC54" s="417">
        <f>+H54*'Parametros Generales'!$J$10*'Parametros Generales'!$C$6*'Parametros Generales'!$C$11</f>
        <v>14738498.767401624</v>
      </c>
      <c r="AD54" s="417"/>
      <c r="AE54" s="417"/>
      <c r="AF54" s="417"/>
      <c r="AG54" s="417"/>
      <c r="AH54" s="417"/>
      <c r="AI54" s="417"/>
      <c r="AJ54" s="417"/>
      <c r="AK54" s="436"/>
      <c r="AL54" s="822"/>
    </row>
    <row r="55" spans="1:38" s="33" customFormat="1" hidden="1" outlineLevel="1">
      <c r="A55" s="1150"/>
      <c r="B55" s="821">
        <v>5</v>
      </c>
      <c r="C55" s="371" t="s">
        <v>47</v>
      </c>
      <c r="D55" s="31">
        <v>5686</v>
      </c>
      <c r="E55" s="1111" t="s">
        <v>1653</v>
      </c>
      <c r="F55" s="1103">
        <v>1</v>
      </c>
      <c r="G55" s="30">
        <v>198</v>
      </c>
      <c r="H55" s="1061">
        <f>CEILING(G55,'Parametros Generales'!$C$8)</f>
        <v>200</v>
      </c>
      <c r="I55" s="1057" t="s">
        <v>796</v>
      </c>
      <c r="J55" s="1058">
        <v>200</v>
      </c>
      <c r="K55" s="1070" t="str">
        <f t="shared" si="0"/>
        <v>Ok</v>
      </c>
      <c r="L55" s="1077">
        <f t="shared" si="1"/>
        <v>0</v>
      </c>
      <c r="M55" s="1090">
        <f>+H55/'Parametros Generales'!$C$8</f>
        <v>8</v>
      </c>
      <c r="N55" s="1097"/>
      <c r="O55" s="1097"/>
      <c r="P55" s="1097"/>
      <c r="Q55" s="1097"/>
      <c r="R55" s="1097">
        <f>+(M55/'Parametros Generales'!$C$9)</f>
        <v>2</v>
      </c>
      <c r="S55" s="390"/>
      <c r="T55" s="390"/>
      <c r="U55" s="390"/>
      <c r="V55" s="389"/>
      <c r="W55" s="32">
        <f>+R55*'Componentes T.H.'!$Q$9*'Parametros Generales'!$C$6</f>
        <v>10037014.142000001</v>
      </c>
      <c r="X55" s="32">
        <f>(+VLOOKUP(C55,'Transporte y Viaticos'!$B$87:$L$120,2,0)*'Parametros Generales'!$C$7*R55)*(2/3)</f>
        <v>2250326.2831462976</v>
      </c>
      <c r="Y55" s="417"/>
      <c r="Z55" s="417"/>
      <c r="AA55" s="417"/>
      <c r="AB55" s="417">
        <f>+M55*'Parametros Generales'!$C$6*'Parametros Generales'!$J$9</f>
        <v>3895272.7272727285</v>
      </c>
      <c r="AC55" s="417">
        <f>+H55*'Parametros Generales'!$J$10*'Parametros Generales'!$C$6*'Parametros Generales'!$C$11</f>
        <v>14738498.767401624</v>
      </c>
      <c r="AD55" s="417"/>
      <c r="AE55" s="417"/>
      <c r="AF55" s="417"/>
      <c r="AG55" s="417"/>
      <c r="AH55" s="417"/>
      <c r="AI55" s="417"/>
      <c r="AJ55" s="417"/>
      <c r="AK55" s="436"/>
      <c r="AL55" s="822"/>
    </row>
    <row r="56" spans="1:38" s="33" customFormat="1" hidden="1" outlineLevel="1">
      <c r="A56" s="1150"/>
      <c r="B56" s="821">
        <v>5</v>
      </c>
      <c r="C56" s="371" t="s">
        <v>47</v>
      </c>
      <c r="D56" s="31">
        <v>5690</v>
      </c>
      <c r="E56" s="1111" t="s">
        <v>1654</v>
      </c>
      <c r="F56" s="1103">
        <v>1</v>
      </c>
      <c r="G56" s="30">
        <v>198</v>
      </c>
      <c r="H56" s="1061">
        <f>CEILING((G56-50),'Parametros Generales'!$C$8)</f>
        <v>150</v>
      </c>
      <c r="I56" s="1059" t="s">
        <v>99</v>
      </c>
      <c r="J56" s="1058">
        <v>150</v>
      </c>
      <c r="K56" s="1070" t="str">
        <f t="shared" si="0"/>
        <v>Ok</v>
      </c>
      <c r="L56" s="1077">
        <f t="shared" si="1"/>
        <v>0</v>
      </c>
      <c r="M56" s="1090">
        <f>+H56/'Parametros Generales'!$C$8</f>
        <v>6</v>
      </c>
      <c r="N56" s="1097"/>
      <c r="O56" s="1097"/>
      <c r="P56" s="1097"/>
      <c r="Q56" s="1097"/>
      <c r="R56" s="1097">
        <f>+(M56/'Parametros Generales'!$C$9)</f>
        <v>1.5</v>
      </c>
      <c r="S56" s="390"/>
      <c r="T56" s="390"/>
      <c r="U56" s="390"/>
      <c r="V56" s="389"/>
      <c r="W56" s="32">
        <f>+R56*'Componentes T.H.'!$Q$9*'Parametros Generales'!$C$6</f>
        <v>7527760.6064999998</v>
      </c>
      <c r="X56" s="32">
        <f>(+VLOOKUP(C56,'Transporte y Viaticos'!$B$87:$L$120,2,0)*'Parametros Generales'!$C$7*R56)*(2/3)</f>
        <v>1687744.7123597232</v>
      </c>
      <c r="Y56" s="417"/>
      <c r="Z56" s="417"/>
      <c r="AA56" s="417"/>
      <c r="AB56" s="417">
        <f>+M56*'Parametros Generales'!$C$6*'Parametros Generales'!$J$9</f>
        <v>2921454.5454545463</v>
      </c>
      <c r="AC56" s="417">
        <f>+H56*'Parametros Generales'!$J$10*'Parametros Generales'!$C$6*'Parametros Generales'!$C$11</f>
        <v>11053874.075551221</v>
      </c>
      <c r="AD56" s="417"/>
      <c r="AE56" s="417"/>
      <c r="AF56" s="417"/>
      <c r="AG56" s="417"/>
      <c r="AH56" s="417"/>
      <c r="AI56" s="417"/>
      <c r="AJ56" s="417"/>
      <c r="AK56" s="436"/>
      <c r="AL56" s="822"/>
    </row>
    <row r="57" spans="1:38" s="33" customFormat="1" hidden="1" outlineLevel="1">
      <c r="A57" s="1150"/>
      <c r="B57" s="821">
        <v>5</v>
      </c>
      <c r="C57" s="371" t="s">
        <v>47</v>
      </c>
      <c r="D57" s="31">
        <v>5736</v>
      </c>
      <c r="E57" s="1111" t="s">
        <v>1655</v>
      </c>
      <c r="F57" s="1103">
        <v>1</v>
      </c>
      <c r="G57" s="30">
        <v>198</v>
      </c>
      <c r="H57" s="1061">
        <f>CEILING(G57,'Parametros Generales'!$C$8)</f>
        <v>200</v>
      </c>
      <c r="I57" s="1057" t="s">
        <v>100</v>
      </c>
      <c r="J57" s="1058">
        <v>200</v>
      </c>
      <c r="K57" s="1070" t="str">
        <f t="shared" si="0"/>
        <v>Ok</v>
      </c>
      <c r="L57" s="1077">
        <f t="shared" si="1"/>
        <v>0</v>
      </c>
      <c r="M57" s="1090">
        <f>+H57/'Parametros Generales'!$C$8</f>
        <v>8</v>
      </c>
      <c r="N57" s="1097"/>
      <c r="O57" s="1097"/>
      <c r="P57" s="1097"/>
      <c r="Q57" s="1097"/>
      <c r="R57" s="1097">
        <f>+(M57/'Parametros Generales'!$C$9)</f>
        <v>2</v>
      </c>
      <c r="S57" s="390"/>
      <c r="T57" s="390"/>
      <c r="U57" s="390"/>
      <c r="V57" s="389"/>
      <c r="W57" s="32">
        <f>+R57*'Componentes T.H.'!$Q$9*'Parametros Generales'!$C$6</f>
        <v>10037014.142000001</v>
      </c>
      <c r="X57" s="32">
        <f>(+VLOOKUP(C57,'Transporte y Viaticos'!$B$87:$L$120,2,0)*'Parametros Generales'!$C$7*R57)*(2/3)</f>
        <v>2250326.2831462976</v>
      </c>
      <c r="Y57" s="417"/>
      <c r="Z57" s="417"/>
      <c r="AA57" s="417"/>
      <c r="AB57" s="417">
        <f>+M57*'Parametros Generales'!$C$6*'Parametros Generales'!$J$9</f>
        <v>3895272.7272727285</v>
      </c>
      <c r="AC57" s="417">
        <f>+H57*'Parametros Generales'!$J$10*'Parametros Generales'!$C$6*'Parametros Generales'!$C$11</f>
        <v>14738498.767401624</v>
      </c>
      <c r="AD57" s="417"/>
      <c r="AE57" s="417"/>
      <c r="AF57" s="417"/>
      <c r="AG57" s="417"/>
      <c r="AH57" s="417"/>
      <c r="AI57" s="417"/>
      <c r="AJ57" s="417"/>
      <c r="AK57" s="436"/>
      <c r="AL57" s="822"/>
    </row>
    <row r="58" spans="1:38" s="33" customFormat="1" hidden="1" outlineLevel="1">
      <c r="A58" s="1150"/>
      <c r="B58" s="821">
        <v>5</v>
      </c>
      <c r="C58" s="371" t="s">
        <v>47</v>
      </c>
      <c r="D58" s="31">
        <v>5789</v>
      </c>
      <c r="E58" s="1111" t="s">
        <v>1656</v>
      </c>
      <c r="F58" s="1103">
        <v>1</v>
      </c>
      <c r="G58" s="30">
        <v>198</v>
      </c>
      <c r="H58" s="1061">
        <f>CEILING(G58,'Parametros Generales'!$C$8)</f>
        <v>200</v>
      </c>
      <c r="I58" s="1057" t="s">
        <v>101</v>
      </c>
      <c r="J58" s="1058">
        <v>200</v>
      </c>
      <c r="K58" s="1070" t="str">
        <f t="shared" si="0"/>
        <v>Ok</v>
      </c>
      <c r="L58" s="1077">
        <f t="shared" si="1"/>
        <v>0</v>
      </c>
      <c r="M58" s="1090">
        <f>+H58/'Parametros Generales'!$C$8</f>
        <v>8</v>
      </c>
      <c r="N58" s="1097"/>
      <c r="O58" s="1097"/>
      <c r="P58" s="1097"/>
      <c r="Q58" s="1097"/>
      <c r="R58" s="1097">
        <f>+(M58/'Parametros Generales'!$C$9)</f>
        <v>2</v>
      </c>
      <c r="S58" s="390"/>
      <c r="T58" s="390"/>
      <c r="U58" s="390"/>
      <c r="V58" s="389"/>
      <c r="W58" s="32">
        <f>+R58*'Componentes T.H.'!$Q$9*'Parametros Generales'!$C$6</f>
        <v>10037014.142000001</v>
      </c>
      <c r="X58" s="32">
        <f>(+VLOOKUP(C58,'Transporte y Viaticos'!$B$87:$L$120,2,0)*'Parametros Generales'!$C$7*R58)*(2/3)</f>
        <v>2250326.2831462976</v>
      </c>
      <c r="Y58" s="417"/>
      <c r="Z58" s="417"/>
      <c r="AA58" s="417"/>
      <c r="AB58" s="417">
        <f>+M58*'Parametros Generales'!$C$6*'Parametros Generales'!$J$9</f>
        <v>3895272.7272727285</v>
      </c>
      <c r="AC58" s="417">
        <f>+H58*'Parametros Generales'!$J$10*'Parametros Generales'!$C$6*'Parametros Generales'!$C$11</f>
        <v>14738498.767401624</v>
      </c>
      <c r="AD58" s="417"/>
      <c r="AE58" s="417"/>
      <c r="AF58" s="417"/>
      <c r="AG58" s="417"/>
      <c r="AH58" s="417"/>
      <c r="AI58" s="417"/>
      <c r="AJ58" s="417"/>
      <c r="AK58" s="436"/>
      <c r="AL58" s="822"/>
    </row>
    <row r="59" spans="1:38" s="33" customFormat="1" hidden="1" outlineLevel="1">
      <c r="A59" s="1150"/>
      <c r="B59" s="821">
        <v>5</v>
      </c>
      <c r="C59" s="371" t="s">
        <v>47</v>
      </c>
      <c r="D59" s="31">
        <v>5790</v>
      </c>
      <c r="E59" s="1111" t="s">
        <v>1657</v>
      </c>
      <c r="F59" s="1103">
        <v>1</v>
      </c>
      <c r="G59" s="30">
        <v>198</v>
      </c>
      <c r="H59" s="1061">
        <f>CEILING(G59,'Parametros Generales'!$C$8)</f>
        <v>200</v>
      </c>
      <c r="I59" s="1057" t="s">
        <v>102</v>
      </c>
      <c r="J59" s="1058">
        <v>200</v>
      </c>
      <c r="K59" s="1070" t="str">
        <f t="shared" si="0"/>
        <v>Ok</v>
      </c>
      <c r="L59" s="1077">
        <f t="shared" si="1"/>
        <v>0</v>
      </c>
      <c r="M59" s="1090">
        <f>+H59/'Parametros Generales'!$C$8</f>
        <v>8</v>
      </c>
      <c r="N59" s="1097"/>
      <c r="O59" s="1097"/>
      <c r="P59" s="1097"/>
      <c r="Q59" s="1097"/>
      <c r="R59" s="1097">
        <f>+(M59/'Parametros Generales'!$C$9)</f>
        <v>2</v>
      </c>
      <c r="S59" s="390"/>
      <c r="T59" s="390"/>
      <c r="U59" s="390"/>
      <c r="V59" s="389"/>
      <c r="W59" s="32">
        <f>+R59*'Componentes T.H.'!$Q$9*'Parametros Generales'!$C$6</f>
        <v>10037014.142000001</v>
      </c>
      <c r="X59" s="32">
        <f>(+VLOOKUP(C59,'Transporte y Viaticos'!$B$87:$L$120,2,0)*'Parametros Generales'!$C$7*R59)*(2/3)</f>
        <v>2250326.2831462976</v>
      </c>
      <c r="Y59" s="417"/>
      <c r="Z59" s="417"/>
      <c r="AA59" s="417"/>
      <c r="AB59" s="417">
        <f>+M59*'Parametros Generales'!$C$6*'Parametros Generales'!$J$9</f>
        <v>3895272.7272727285</v>
      </c>
      <c r="AC59" s="417">
        <f>+H59*'Parametros Generales'!$J$10*'Parametros Generales'!$C$6*'Parametros Generales'!$C$11</f>
        <v>14738498.767401624</v>
      </c>
      <c r="AD59" s="417"/>
      <c r="AE59" s="417"/>
      <c r="AF59" s="417"/>
      <c r="AG59" s="417"/>
      <c r="AH59" s="417"/>
      <c r="AI59" s="417"/>
      <c r="AJ59" s="417"/>
      <c r="AK59" s="436"/>
      <c r="AL59" s="822"/>
    </row>
    <row r="60" spans="1:38" s="33" customFormat="1" hidden="1" outlineLevel="1">
      <c r="A60" s="1150"/>
      <c r="B60" s="821">
        <v>5</v>
      </c>
      <c r="C60" s="371" t="s">
        <v>47</v>
      </c>
      <c r="D60" s="31">
        <v>5837</v>
      </c>
      <c r="E60" s="1111" t="s">
        <v>1658</v>
      </c>
      <c r="F60" s="1103">
        <v>1</v>
      </c>
      <c r="G60" s="30">
        <v>198</v>
      </c>
      <c r="H60" s="1061">
        <f>CEILING(G60,'Parametros Generales'!$C$8)</f>
        <v>200</v>
      </c>
      <c r="I60" s="1057" t="s">
        <v>103</v>
      </c>
      <c r="J60" s="1058">
        <v>200</v>
      </c>
      <c r="K60" s="1070" t="str">
        <f t="shared" si="0"/>
        <v>Ok</v>
      </c>
      <c r="L60" s="1077">
        <f t="shared" si="1"/>
        <v>0</v>
      </c>
      <c r="M60" s="1090">
        <f>+H60/'Parametros Generales'!$C$8</f>
        <v>8</v>
      </c>
      <c r="N60" s="1097"/>
      <c r="O60" s="1097"/>
      <c r="P60" s="1097"/>
      <c r="Q60" s="1097"/>
      <c r="R60" s="1097">
        <f>+(M60/'Parametros Generales'!$C$9)</f>
        <v>2</v>
      </c>
      <c r="S60" s="390"/>
      <c r="T60" s="390"/>
      <c r="U60" s="390"/>
      <c r="V60" s="389"/>
      <c r="W60" s="32">
        <f>+R60*'Componentes T.H.'!$Q$9*'Parametros Generales'!$C$6</f>
        <v>10037014.142000001</v>
      </c>
      <c r="X60" s="32">
        <f>(+VLOOKUP(C60,'Transporte y Viaticos'!$B$87:$L$120,2,0)*'Parametros Generales'!$C$7*R60)*(2/3)</f>
        <v>2250326.2831462976</v>
      </c>
      <c r="Y60" s="417"/>
      <c r="Z60" s="417"/>
      <c r="AA60" s="417"/>
      <c r="AB60" s="417">
        <f>+M60*'Parametros Generales'!$C$6*'Parametros Generales'!$J$9</f>
        <v>3895272.7272727285</v>
      </c>
      <c r="AC60" s="417">
        <f>+H60*'Parametros Generales'!$J$10*'Parametros Generales'!$C$6*'Parametros Generales'!$C$11</f>
        <v>14738498.767401624</v>
      </c>
      <c r="AD60" s="417"/>
      <c r="AE60" s="417"/>
      <c r="AF60" s="417"/>
      <c r="AG60" s="417"/>
      <c r="AH60" s="417"/>
      <c r="AI60" s="417"/>
      <c r="AJ60" s="417"/>
      <c r="AK60" s="436"/>
      <c r="AL60" s="822"/>
    </row>
    <row r="61" spans="1:38" s="33" customFormat="1" hidden="1" outlineLevel="1">
      <c r="A61" s="1150"/>
      <c r="B61" s="821">
        <v>5</v>
      </c>
      <c r="C61" s="371" t="s">
        <v>47</v>
      </c>
      <c r="D61" s="31">
        <v>5847</v>
      </c>
      <c r="E61" s="1111" t="s">
        <v>1659</v>
      </c>
      <c r="F61" s="1103">
        <v>1</v>
      </c>
      <c r="G61" s="30">
        <v>198</v>
      </c>
      <c r="H61" s="1061">
        <f>CEILING(G61,'Parametros Generales'!$C$8)</f>
        <v>200</v>
      </c>
      <c r="I61" s="1057" t="s">
        <v>104</v>
      </c>
      <c r="J61" s="1058">
        <v>200</v>
      </c>
      <c r="K61" s="1070" t="str">
        <f t="shared" si="0"/>
        <v>Ok</v>
      </c>
      <c r="L61" s="1077">
        <f t="shared" si="1"/>
        <v>0</v>
      </c>
      <c r="M61" s="1090">
        <f>+H61/'Parametros Generales'!$C$8</f>
        <v>8</v>
      </c>
      <c r="N61" s="1097"/>
      <c r="O61" s="1097"/>
      <c r="P61" s="1097"/>
      <c r="Q61" s="1097"/>
      <c r="R61" s="1097">
        <f>+(M61/'Parametros Generales'!$C$9)</f>
        <v>2</v>
      </c>
      <c r="S61" s="390"/>
      <c r="T61" s="390"/>
      <c r="U61" s="390"/>
      <c r="V61" s="389"/>
      <c r="W61" s="32">
        <f>+R61*'Componentes T.H.'!$Q$9*'Parametros Generales'!$C$6</f>
        <v>10037014.142000001</v>
      </c>
      <c r="X61" s="32">
        <f>(+VLOOKUP(C61,'Transporte y Viaticos'!$B$87:$L$120,2,0)*'Parametros Generales'!$C$7*R61)*(2/3)</f>
        <v>2250326.2831462976</v>
      </c>
      <c r="Y61" s="417"/>
      <c r="Z61" s="417"/>
      <c r="AA61" s="417"/>
      <c r="AB61" s="417">
        <f>+M61*'Parametros Generales'!$C$6*'Parametros Generales'!$J$9</f>
        <v>3895272.7272727285</v>
      </c>
      <c r="AC61" s="417">
        <f>+H61*'Parametros Generales'!$J$10*'Parametros Generales'!$C$6*'Parametros Generales'!$C$11</f>
        <v>14738498.767401624</v>
      </c>
      <c r="AD61" s="417"/>
      <c r="AE61" s="417"/>
      <c r="AF61" s="417"/>
      <c r="AG61" s="417"/>
      <c r="AH61" s="417"/>
      <c r="AI61" s="417"/>
      <c r="AJ61" s="417"/>
      <c r="AK61" s="436"/>
      <c r="AL61" s="822"/>
    </row>
    <row r="62" spans="1:38" s="33" customFormat="1" hidden="1" outlineLevel="1">
      <c r="A62" s="1150"/>
      <c r="B62" s="821">
        <v>5</v>
      </c>
      <c r="C62" s="371" t="s">
        <v>47</v>
      </c>
      <c r="D62" s="31">
        <v>5854</v>
      </c>
      <c r="E62" s="1111" t="s">
        <v>1660</v>
      </c>
      <c r="F62" s="1103">
        <v>1</v>
      </c>
      <c r="G62" s="30">
        <v>198</v>
      </c>
      <c r="H62" s="1061">
        <f>CEILING(G62,'Parametros Generales'!$C$8)</f>
        <v>200</v>
      </c>
      <c r="I62" s="1057" t="s">
        <v>105</v>
      </c>
      <c r="J62" s="1058">
        <v>200</v>
      </c>
      <c r="K62" s="1070" t="str">
        <f t="shared" si="0"/>
        <v>Ok</v>
      </c>
      <c r="L62" s="1077">
        <f t="shared" si="1"/>
        <v>0</v>
      </c>
      <c r="M62" s="1090">
        <f>+H62/'Parametros Generales'!$C$8</f>
        <v>8</v>
      </c>
      <c r="N62" s="1097"/>
      <c r="O62" s="1097"/>
      <c r="P62" s="1097"/>
      <c r="Q62" s="1097"/>
      <c r="R62" s="1097">
        <f>+(M62/'Parametros Generales'!$C$9)</f>
        <v>2</v>
      </c>
      <c r="S62" s="390"/>
      <c r="T62" s="390"/>
      <c r="U62" s="390"/>
      <c r="V62" s="389"/>
      <c r="W62" s="32">
        <f>+R62*'Componentes T.H.'!$Q$9*'Parametros Generales'!$C$6</f>
        <v>10037014.142000001</v>
      </c>
      <c r="X62" s="32">
        <f>(+VLOOKUP(C62,'Transporte y Viaticos'!$B$87:$L$120,2,0)*'Parametros Generales'!$C$7*R62)*(2/3)</f>
        <v>2250326.2831462976</v>
      </c>
      <c r="Y62" s="417"/>
      <c r="Z62" s="417"/>
      <c r="AA62" s="417"/>
      <c r="AB62" s="417">
        <f>+M62*'Parametros Generales'!$C$6*'Parametros Generales'!$J$9</f>
        <v>3895272.7272727285</v>
      </c>
      <c r="AC62" s="417">
        <f>+H62*'Parametros Generales'!$J$10*'Parametros Generales'!$C$6*'Parametros Generales'!$C$11</f>
        <v>14738498.767401624</v>
      </c>
      <c r="AD62" s="417"/>
      <c r="AE62" s="417"/>
      <c r="AF62" s="417"/>
      <c r="AG62" s="417"/>
      <c r="AH62" s="417"/>
      <c r="AI62" s="417"/>
      <c r="AJ62" s="417"/>
      <c r="AK62" s="436"/>
      <c r="AL62" s="822"/>
    </row>
    <row r="63" spans="1:38" s="33" customFormat="1" hidden="1" outlineLevel="1">
      <c r="A63" s="1150"/>
      <c r="B63" s="821">
        <v>5</v>
      </c>
      <c r="C63" s="371" t="s">
        <v>47</v>
      </c>
      <c r="D63" s="31">
        <v>5861</v>
      </c>
      <c r="E63" s="1111" t="s">
        <v>1661</v>
      </c>
      <c r="F63" s="1103">
        <v>1</v>
      </c>
      <c r="G63" s="30">
        <v>198</v>
      </c>
      <c r="H63" s="1061">
        <f>CEILING((G63-100),'Parametros Generales'!$C$8)</f>
        <v>100</v>
      </c>
      <c r="I63" s="1057" t="s">
        <v>106</v>
      </c>
      <c r="J63" s="1058">
        <v>100</v>
      </c>
      <c r="K63" s="1070" t="str">
        <f t="shared" si="0"/>
        <v>Ok</v>
      </c>
      <c r="L63" s="1077">
        <f t="shared" si="1"/>
        <v>0</v>
      </c>
      <c r="M63" s="1090">
        <f>+H63/'Parametros Generales'!$C$8</f>
        <v>4</v>
      </c>
      <c r="N63" s="1097"/>
      <c r="O63" s="1097"/>
      <c r="P63" s="1097"/>
      <c r="Q63" s="1097"/>
      <c r="R63" s="1097">
        <f>+(M63/'Parametros Generales'!$C$9)</f>
        <v>1</v>
      </c>
      <c r="S63" s="390"/>
      <c r="T63" s="390"/>
      <c r="U63" s="390"/>
      <c r="V63" s="389"/>
      <c r="W63" s="32">
        <f>+R63*'Componentes T.H.'!$Q$9*'Parametros Generales'!$C$6</f>
        <v>5018507.0710000005</v>
      </c>
      <c r="X63" s="32">
        <f>(+VLOOKUP(C63,'Transporte y Viaticos'!$B$87:$L$120,2,0)*'Parametros Generales'!$C$7*R63)*(2/3)</f>
        <v>1125163.1415731488</v>
      </c>
      <c r="Y63" s="417"/>
      <c r="Z63" s="417"/>
      <c r="AA63" s="417"/>
      <c r="AB63" s="417">
        <f>+M63*'Parametros Generales'!$C$6*'Parametros Generales'!$J$9</f>
        <v>1947636.3636363642</v>
      </c>
      <c r="AC63" s="417">
        <f>+H63*'Parametros Generales'!$J$10*'Parametros Generales'!$C$6*'Parametros Generales'!$C$11</f>
        <v>7369249.3837008122</v>
      </c>
      <c r="AD63" s="417"/>
      <c r="AE63" s="417"/>
      <c r="AF63" s="417"/>
      <c r="AG63" s="417"/>
      <c r="AH63" s="417"/>
      <c r="AI63" s="417"/>
      <c r="AJ63" s="417"/>
      <c r="AK63" s="436"/>
      <c r="AL63" s="822"/>
    </row>
    <row r="64" spans="1:38" s="33" customFormat="1" hidden="1" outlineLevel="1">
      <c r="A64" s="1150"/>
      <c r="B64" s="821">
        <v>5</v>
      </c>
      <c r="C64" s="371" t="s">
        <v>47</v>
      </c>
      <c r="D64" s="31">
        <v>5873</v>
      </c>
      <c r="E64" s="1111" t="s">
        <v>1662</v>
      </c>
      <c r="F64" s="1103">
        <v>1</v>
      </c>
      <c r="G64" s="30">
        <v>198</v>
      </c>
      <c r="H64" s="1061">
        <f>CEILING(G64,'Parametros Generales'!$C$8)</f>
        <v>200</v>
      </c>
      <c r="I64" s="1057" t="s">
        <v>107</v>
      </c>
      <c r="J64" s="1058">
        <v>200</v>
      </c>
      <c r="K64" s="1070" t="str">
        <f t="shared" si="0"/>
        <v>Ok</v>
      </c>
      <c r="L64" s="1077">
        <f t="shared" si="1"/>
        <v>0</v>
      </c>
      <c r="M64" s="1090">
        <f>+H64/'Parametros Generales'!$C$8</f>
        <v>8</v>
      </c>
      <c r="N64" s="1097"/>
      <c r="O64" s="1097"/>
      <c r="P64" s="1097"/>
      <c r="Q64" s="1097"/>
      <c r="R64" s="1097">
        <f>+(M64/'Parametros Generales'!$C$9)</f>
        <v>2</v>
      </c>
      <c r="S64" s="390"/>
      <c r="T64" s="390"/>
      <c r="U64" s="390"/>
      <c r="V64" s="389"/>
      <c r="W64" s="32">
        <f>+R64*'Componentes T.H.'!$Q$9*'Parametros Generales'!$C$6</f>
        <v>10037014.142000001</v>
      </c>
      <c r="X64" s="32">
        <f>(+VLOOKUP(C64,'Transporte y Viaticos'!$B$87:$L$120,2,0)*'Parametros Generales'!$C$7*R64)*(2/3)</f>
        <v>2250326.2831462976</v>
      </c>
      <c r="Y64" s="417"/>
      <c r="Z64" s="417"/>
      <c r="AA64" s="417"/>
      <c r="AB64" s="417">
        <f>+M64*'Parametros Generales'!$C$6*'Parametros Generales'!$J$9</f>
        <v>3895272.7272727285</v>
      </c>
      <c r="AC64" s="417">
        <f>+H64*'Parametros Generales'!$J$10*'Parametros Generales'!$C$6*'Parametros Generales'!$C$11</f>
        <v>14738498.767401624</v>
      </c>
      <c r="AD64" s="417"/>
      <c r="AE64" s="417"/>
      <c r="AF64" s="417"/>
      <c r="AG64" s="417"/>
      <c r="AH64" s="417"/>
      <c r="AI64" s="417"/>
      <c r="AJ64" s="417"/>
      <c r="AK64" s="436"/>
      <c r="AL64" s="822"/>
    </row>
    <row r="65" spans="1:38" s="33" customFormat="1" hidden="1" outlineLevel="1">
      <c r="A65" s="1150"/>
      <c r="B65" s="821">
        <v>5</v>
      </c>
      <c r="C65" s="371" t="s">
        <v>47</v>
      </c>
      <c r="D65" s="31">
        <v>5885</v>
      </c>
      <c r="E65" s="1111" t="s">
        <v>1663</v>
      </c>
      <c r="F65" s="1103">
        <v>1</v>
      </c>
      <c r="G65" s="30">
        <v>198</v>
      </c>
      <c r="H65" s="1061">
        <f>CEILING(G65,'Parametros Generales'!$C$8)</f>
        <v>200</v>
      </c>
      <c r="I65" s="1057" t="s">
        <v>108</v>
      </c>
      <c r="J65" s="1058">
        <v>200</v>
      </c>
      <c r="K65" s="1070" t="str">
        <f t="shared" si="0"/>
        <v>Ok</v>
      </c>
      <c r="L65" s="1077">
        <f t="shared" si="1"/>
        <v>0</v>
      </c>
      <c r="M65" s="1090">
        <f>+H65/'Parametros Generales'!$C$8</f>
        <v>8</v>
      </c>
      <c r="N65" s="1097"/>
      <c r="O65" s="1097"/>
      <c r="P65" s="1097"/>
      <c r="Q65" s="1097"/>
      <c r="R65" s="1097">
        <f>+(M65/'Parametros Generales'!$C$9)</f>
        <v>2</v>
      </c>
      <c r="S65" s="390"/>
      <c r="T65" s="390"/>
      <c r="U65" s="390"/>
      <c r="V65" s="389"/>
      <c r="W65" s="32">
        <f>+R65*'Componentes T.H.'!$Q$9*'Parametros Generales'!$C$6</f>
        <v>10037014.142000001</v>
      </c>
      <c r="X65" s="32">
        <f>(+VLOOKUP(C65,'Transporte y Viaticos'!$B$87:$L$120,2,0)*'Parametros Generales'!$C$7*R65)*(2/3)</f>
        <v>2250326.2831462976</v>
      </c>
      <c r="Y65" s="417"/>
      <c r="Z65" s="417"/>
      <c r="AA65" s="417"/>
      <c r="AB65" s="417">
        <f>+M65*'Parametros Generales'!$C$6*'Parametros Generales'!$J$9</f>
        <v>3895272.7272727285</v>
      </c>
      <c r="AC65" s="417">
        <f>+H65*'Parametros Generales'!$J$10*'Parametros Generales'!$C$6*'Parametros Generales'!$C$11</f>
        <v>14738498.767401624</v>
      </c>
      <c r="AD65" s="417"/>
      <c r="AE65" s="417"/>
      <c r="AF65" s="417"/>
      <c r="AG65" s="417"/>
      <c r="AH65" s="417"/>
      <c r="AI65" s="417"/>
      <c r="AJ65" s="417"/>
      <c r="AK65" s="436"/>
      <c r="AL65" s="822"/>
    </row>
    <row r="66" spans="1:38" s="33" customFormat="1" hidden="1" outlineLevel="1">
      <c r="A66" s="1150"/>
      <c r="B66" s="823">
        <v>5</v>
      </c>
      <c r="C66" s="373" t="s">
        <v>47</v>
      </c>
      <c r="D66" s="374">
        <v>5887</v>
      </c>
      <c r="E66" s="1113" t="s">
        <v>1664</v>
      </c>
      <c r="F66" s="1104">
        <v>1</v>
      </c>
      <c r="G66" s="375">
        <v>198</v>
      </c>
      <c r="H66" s="1062">
        <f>CEILING((G66-50),'Parametros Generales'!$C$8)</f>
        <v>150</v>
      </c>
      <c r="I66" s="1057" t="s">
        <v>109</v>
      </c>
      <c r="J66" s="1058">
        <v>150</v>
      </c>
      <c r="K66" s="1070" t="str">
        <f t="shared" ref="K66:K129" si="4">+IF(I66=E66,"Ok","Rev")</f>
        <v>Ok</v>
      </c>
      <c r="L66" s="1077">
        <f t="shared" ref="L66:L129" si="5">+J66-H66</f>
        <v>0</v>
      </c>
      <c r="M66" s="1091">
        <f>+H66/'Parametros Generales'!$C$8</f>
        <v>6</v>
      </c>
      <c r="N66" s="1098"/>
      <c r="O66" s="1098"/>
      <c r="P66" s="1098"/>
      <c r="Q66" s="1098"/>
      <c r="R66" s="1098">
        <f>+(M66/'Parametros Generales'!$C$9)</f>
        <v>1.5</v>
      </c>
      <c r="S66" s="395"/>
      <c r="T66" s="395"/>
      <c r="U66" s="395"/>
      <c r="V66" s="396"/>
      <c r="W66" s="376">
        <f>+R66*'Componentes T.H.'!$Q$9*'Parametros Generales'!$C$6</f>
        <v>7527760.6064999998</v>
      </c>
      <c r="X66" s="376">
        <f>(+VLOOKUP(C66,'Transporte y Viaticos'!$B$87:$L$120,2,0)*'Parametros Generales'!$C$7*R66)*(2/3)</f>
        <v>1687744.7123597232</v>
      </c>
      <c r="Y66" s="417"/>
      <c r="Z66" s="417"/>
      <c r="AA66" s="417"/>
      <c r="AB66" s="417">
        <f>+M66*'Parametros Generales'!$C$6*'Parametros Generales'!$J$9</f>
        <v>2921454.5454545463</v>
      </c>
      <c r="AC66" s="417">
        <f>+H66*'Parametros Generales'!$J$10*'Parametros Generales'!$C$6*'Parametros Generales'!$C$11</f>
        <v>11053874.075551221</v>
      </c>
      <c r="AD66" s="417"/>
      <c r="AE66" s="417"/>
      <c r="AF66" s="417"/>
      <c r="AG66" s="417"/>
      <c r="AH66" s="417"/>
      <c r="AI66" s="417"/>
      <c r="AJ66" s="417"/>
      <c r="AK66" s="436"/>
      <c r="AL66" s="822"/>
    </row>
    <row r="67" spans="1:38" s="33" customFormat="1" hidden="1" outlineLevel="1">
      <c r="A67" s="1150"/>
      <c r="B67" s="823">
        <v>5</v>
      </c>
      <c r="C67" s="373" t="str">
        <f>+C66</f>
        <v>ANTIOQUIA</v>
      </c>
      <c r="D67" s="374">
        <v>5893</v>
      </c>
      <c r="E67" s="1113" t="s">
        <v>1665</v>
      </c>
      <c r="F67" s="1104">
        <v>1</v>
      </c>
      <c r="G67" s="375">
        <v>198</v>
      </c>
      <c r="H67" s="1062">
        <f>CEILING(G67,'Parametros Generales'!$C$8)</f>
        <v>200</v>
      </c>
      <c r="I67" s="1057" t="s">
        <v>110</v>
      </c>
      <c r="J67" s="1058">
        <v>200</v>
      </c>
      <c r="K67" s="1070" t="str">
        <f t="shared" si="4"/>
        <v>Ok</v>
      </c>
      <c r="L67" s="1077">
        <f t="shared" si="5"/>
        <v>0</v>
      </c>
      <c r="M67" s="1091">
        <f>+H67/'Parametros Generales'!$C$8</f>
        <v>8</v>
      </c>
      <c r="N67" s="1098"/>
      <c r="O67" s="1098"/>
      <c r="P67" s="1098"/>
      <c r="Q67" s="1098"/>
      <c r="R67" s="1098">
        <f>+(M67/'Parametros Generales'!$C$9)</f>
        <v>2</v>
      </c>
      <c r="S67" s="395"/>
      <c r="T67" s="395"/>
      <c r="U67" s="395"/>
      <c r="V67" s="396"/>
      <c r="W67" s="376">
        <f>+R67*'Componentes T.H.'!$Q$9*'Parametros Generales'!$C$6</f>
        <v>10037014.142000001</v>
      </c>
      <c r="X67" s="376">
        <f>(+VLOOKUP(C67,'Transporte y Viaticos'!$B$87:$L$120,2,0)*'Parametros Generales'!$C$7*R67)*(2/3)</f>
        <v>2250326.2831462976</v>
      </c>
      <c r="Y67" s="417"/>
      <c r="Z67" s="417"/>
      <c r="AA67" s="417"/>
      <c r="AB67" s="417">
        <f>+M67*'Parametros Generales'!$C$6*'Parametros Generales'!$J$9</f>
        <v>3895272.7272727285</v>
      </c>
      <c r="AC67" s="417">
        <f>+H67*'Parametros Generales'!$J$10*'Parametros Generales'!$C$6*'Parametros Generales'!$C$11</f>
        <v>14738498.767401624</v>
      </c>
      <c r="AD67" s="417"/>
      <c r="AE67" s="417"/>
      <c r="AF67" s="417"/>
      <c r="AG67" s="417"/>
      <c r="AH67" s="417"/>
      <c r="AI67" s="417"/>
      <c r="AJ67" s="417"/>
      <c r="AK67" s="436"/>
      <c r="AL67" s="822"/>
    </row>
    <row r="68" spans="1:38" s="33" customFormat="1" hidden="1" outlineLevel="1">
      <c r="A68" s="1150"/>
      <c r="B68" s="823">
        <v>5</v>
      </c>
      <c r="C68" s="373" t="str">
        <f t="shared" ref="C68:C102" si="6">+C67</f>
        <v>ANTIOQUIA</v>
      </c>
      <c r="D68" s="374">
        <v>5895</v>
      </c>
      <c r="E68" s="1113" t="s">
        <v>1666</v>
      </c>
      <c r="F68" s="1104">
        <v>1</v>
      </c>
      <c r="G68" s="375">
        <v>198</v>
      </c>
      <c r="H68" s="1062">
        <f>CEILING(G68,'Parametros Generales'!$C$8)</f>
        <v>200</v>
      </c>
      <c r="I68" s="1057" t="s">
        <v>111</v>
      </c>
      <c r="J68" s="1058">
        <v>200</v>
      </c>
      <c r="K68" s="1070" t="str">
        <f t="shared" si="4"/>
        <v>Ok</v>
      </c>
      <c r="L68" s="1077">
        <f t="shared" si="5"/>
        <v>0</v>
      </c>
      <c r="M68" s="1091">
        <f>+H68/'Parametros Generales'!$C$8</f>
        <v>8</v>
      </c>
      <c r="N68" s="1098"/>
      <c r="O68" s="1098"/>
      <c r="P68" s="1098"/>
      <c r="Q68" s="1098"/>
      <c r="R68" s="1098">
        <f>+(M68/'Parametros Generales'!$C$9)</f>
        <v>2</v>
      </c>
      <c r="S68" s="395"/>
      <c r="T68" s="395"/>
      <c r="U68" s="395"/>
      <c r="V68" s="396"/>
      <c r="W68" s="376">
        <f>+R68*'Componentes T.H.'!$Q$9*'Parametros Generales'!$C$6</f>
        <v>10037014.142000001</v>
      </c>
      <c r="X68" s="376">
        <f>(+VLOOKUP(C68,'Transporte y Viaticos'!$B$87:$L$120,2,0)*'Parametros Generales'!$C$7*R68)*(2/3)</f>
        <v>2250326.2831462976</v>
      </c>
      <c r="Y68" s="417"/>
      <c r="Z68" s="417"/>
      <c r="AA68" s="417"/>
      <c r="AB68" s="417">
        <f>+M68*'Parametros Generales'!$C$6*'Parametros Generales'!$J$9</f>
        <v>3895272.7272727285</v>
      </c>
      <c r="AC68" s="417">
        <f>+H68*'Parametros Generales'!$J$10*'Parametros Generales'!$C$6*'Parametros Generales'!$C$11</f>
        <v>14738498.767401624</v>
      </c>
      <c r="AD68" s="417"/>
      <c r="AE68" s="417"/>
      <c r="AF68" s="417"/>
      <c r="AG68" s="417"/>
      <c r="AH68" s="417"/>
      <c r="AI68" s="417"/>
      <c r="AJ68" s="417"/>
      <c r="AK68" s="436"/>
      <c r="AL68" s="822"/>
    </row>
    <row r="69" spans="1:38" s="33" customFormat="1" hidden="1" outlineLevel="1">
      <c r="A69" s="1150"/>
      <c r="B69" s="823">
        <v>5</v>
      </c>
      <c r="C69" s="373" t="str">
        <f t="shared" si="6"/>
        <v>ANTIOQUIA</v>
      </c>
      <c r="D69" s="374"/>
      <c r="E69" s="1113"/>
      <c r="F69" s="1104"/>
      <c r="G69" s="375"/>
      <c r="H69" s="1062"/>
      <c r="I69" s="1057"/>
      <c r="J69" s="1058"/>
      <c r="K69" s="1070" t="str">
        <f t="shared" si="4"/>
        <v>Ok</v>
      </c>
      <c r="L69" s="1077">
        <f t="shared" si="5"/>
        <v>0</v>
      </c>
      <c r="M69" s="1091">
        <f>+H69/'Parametros Generales'!$C$8</f>
        <v>0</v>
      </c>
      <c r="N69" s="1098"/>
      <c r="O69" s="1098"/>
      <c r="P69" s="1098"/>
      <c r="Q69" s="1098"/>
      <c r="R69" s="1098">
        <f>+(M69/'Parametros Generales'!$C$9)</f>
        <v>0</v>
      </c>
      <c r="S69" s="395"/>
      <c r="T69" s="395"/>
      <c r="U69" s="395"/>
      <c r="V69" s="396"/>
      <c r="W69" s="376">
        <f>+R69*'Componentes T.H.'!$Q$9*'Parametros Generales'!$C$6</f>
        <v>0</v>
      </c>
      <c r="X69" s="376">
        <f>(+VLOOKUP(C69,'Transporte y Viaticos'!$B$87:$L$120,2,0)*'Parametros Generales'!$C$7*R69)*(2/3)</f>
        <v>0</v>
      </c>
      <c r="Y69" s="417"/>
      <c r="Z69" s="417"/>
      <c r="AA69" s="417"/>
      <c r="AB69" s="417">
        <f>+M69*'Parametros Generales'!$C$6*'Parametros Generales'!$J$9</f>
        <v>0</v>
      </c>
      <c r="AC69" s="417">
        <f>+H69*'Parametros Generales'!$J$10*'Parametros Generales'!$C$6*'Parametros Generales'!$C$11</f>
        <v>0</v>
      </c>
      <c r="AD69" s="417"/>
      <c r="AE69" s="417"/>
      <c r="AF69" s="417"/>
      <c r="AG69" s="417"/>
      <c r="AH69" s="417"/>
      <c r="AI69" s="417"/>
      <c r="AJ69" s="417"/>
      <c r="AK69" s="436"/>
      <c r="AL69" s="822"/>
    </row>
    <row r="70" spans="1:38" s="33" customFormat="1" hidden="1" outlineLevel="1">
      <c r="A70" s="1150"/>
      <c r="B70" s="823">
        <v>5</v>
      </c>
      <c r="C70" s="373" t="str">
        <f t="shared" si="6"/>
        <v>ANTIOQUIA</v>
      </c>
      <c r="D70" s="374"/>
      <c r="E70" s="1113"/>
      <c r="F70" s="1104"/>
      <c r="G70" s="375"/>
      <c r="H70" s="1062"/>
      <c r="I70" s="1057"/>
      <c r="J70" s="1058"/>
      <c r="K70" s="1070" t="str">
        <f t="shared" si="4"/>
        <v>Ok</v>
      </c>
      <c r="L70" s="1077">
        <f t="shared" si="5"/>
        <v>0</v>
      </c>
      <c r="M70" s="1091">
        <f>+H70/'Parametros Generales'!$C$8</f>
        <v>0</v>
      </c>
      <c r="N70" s="1098"/>
      <c r="O70" s="1098"/>
      <c r="P70" s="1098"/>
      <c r="Q70" s="1098"/>
      <c r="R70" s="1098">
        <f>+(M70/'Parametros Generales'!$C$9)</f>
        <v>0</v>
      </c>
      <c r="S70" s="395"/>
      <c r="T70" s="395"/>
      <c r="U70" s="395"/>
      <c r="V70" s="396"/>
      <c r="W70" s="376">
        <f>+R70*'Componentes T.H.'!$Q$9*'Parametros Generales'!$C$6</f>
        <v>0</v>
      </c>
      <c r="X70" s="376">
        <f>(+VLOOKUP(C70,'Transporte y Viaticos'!$B$87:$L$120,2,0)*'Parametros Generales'!$C$7*R70)*(2/3)</f>
        <v>0</v>
      </c>
      <c r="Y70" s="417"/>
      <c r="Z70" s="417"/>
      <c r="AA70" s="417"/>
      <c r="AB70" s="417">
        <f>+M70*'Parametros Generales'!$C$6*'Parametros Generales'!$J$9</f>
        <v>0</v>
      </c>
      <c r="AC70" s="417">
        <f>+H70*'Parametros Generales'!$J$10*'Parametros Generales'!$C$6*'Parametros Generales'!$C$11</f>
        <v>0</v>
      </c>
      <c r="AD70" s="417"/>
      <c r="AE70" s="417"/>
      <c r="AF70" s="417"/>
      <c r="AG70" s="417"/>
      <c r="AH70" s="417"/>
      <c r="AI70" s="417"/>
      <c r="AJ70" s="417"/>
      <c r="AK70" s="436"/>
      <c r="AL70" s="822"/>
    </row>
    <row r="71" spans="1:38" s="33" customFormat="1" hidden="1" outlineLevel="1">
      <c r="A71" s="1150"/>
      <c r="B71" s="823">
        <v>5</v>
      </c>
      <c r="C71" s="373" t="str">
        <f t="shared" si="6"/>
        <v>ANTIOQUIA</v>
      </c>
      <c r="D71" s="374"/>
      <c r="E71" s="1113"/>
      <c r="F71" s="1104"/>
      <c r="G71" s="375"/>
      <c r="H71" s="1062"/>
      <c r="I71" s="1057"/>
      <c r="J71" s="1058"/>
      <c r="K71" s="1070" t="str">
        <f t="shared" si="4"/>
        <v>Ok</v>
      </c>
      <c r="L71" s="1077">
        <f t="shared" si="5"/>
        <v>0</v>
      </c>
      <c r="M71" s="1091">
        <f>+H71/'Parametros Generales'!$C$8</f>
        <v>0</v>
      </c>
      <c r="N71" s="1098"/>
      <c r="O71" s="1098"/>
      <c r="P71" s="1098"/>
      <c r="Q71" s="1098"/>
      <c r="R71" s="1098">
        <f>+(M71/'Parametros Generales'!$C$9)</f>
        <v>0</v>
      </c>
      <c r="S71" s="395"/>
      <c r="T71" s="395"/>
      <c r="U71" s="395"/>
      <c r="V71" s="396"/>
      <c r="W71" s="376">
        <f>+R71*'Componentes T.H.'!$Q$9*'Parametros Generales'!$C$6</f>
        <v>0</v>
      </c>
      <c r="X71" s="376">
        <f>(+VLOOKUP(C71,'Transporte y Viaticos'!$B$87:$L$120,2,0)*'Parametros Generales'!$C$7*R71)*(2/3)</f>
        <v>0</v>
      </c>
      <c r="Y71" s="417"/>
      <c r="Z71" s="417"/>
      <c r="AA71" s="417"/>
      <c r="AB71" s="417">
        <f>+M71*'Parametros Generales'!$C$6*'Parametros Generales'!$J$9</f>
        <v>0</v>
      </c>
      <c r="AC71" s="417">
        <f>+H71*'Parametros Generales'!$J$10*'Parametros Generales'!$C$6*'Parametros Generales'!$C$11</f>
        <v>0</v>
      </c>
      <c r="AD71" s="417"/>
      <c r="AE71" s="417"/>
      <c r="AF71" s="417"/>
      <c r="AG71" s="417"/>
      <c r="AH71" s="417"/>
      <c r="AI71" s="417"/>
      <c r="AJ71" s="417"/>
      <c r="AK71" s="436"/>
      <c r="AL71" s="822"/>
    </row>
    <row r="72" spans="1:38" s="33" customFormat="1" hidden="1" outlineLevel="1">
      <c r="A72" s="1150"/>
      <c r="B72" s="823">
        <v>5</v>
      </c>
      <c r="C72" s="373" t="str">
        <f t="shared" si="6"/>
        <v>ANTIOQUIA</v>
      </c>
      <c r="D72" s="374"/>
      <c r="E72" s="1113"/>
      <c r="F72" s="1104"/>
      <c r="G72" s="375"/>
      <c r="H72" s="1062"/>
      <c r="I72" s="1057"/>
      <c r="J72" s="1058"/>
      <c r="K72" s="1070" t="str">
        <f t="shared" si="4"/>
        <v>Ok</v>
      </c>
      <c r="L72" s="1077">
        <f t="shared" si="5"/>
        <v>0</v>
      </c>
      <c r="M72" s="1091">
        <f>+H72/'Parametros Generales'!$C$8</f>
        <v>0</v>
      </c>
      <c r="N72" s="1098"/>
      <c r="O72" s="1098"/>
      <c r="P72" s="1098"/>
      <c r="Q72" s="1098"/>
      <c r="R72" s="1098">
        <f>+(M72/'Parametros Generales'!$C$9)</f>
        <v>0</v>
      </c>
      <c r="S72" s="395"/>
      <c r="T72" s="395"/>
      <c r="U72" s="395"/>
      <c r="V72" s="396"/>
      <c r="W72" s="376">
        <f>+R72*'Componentes T.H.'!$Q$9*'Parametros Generales'!$C$6</f>
        <v>0</v>
      </c>
      <c r="X72" s="376">
        <f>(+VLOOKUP(C72,'Transporte y Viaticos'!$B$87:$L$120,2,0)*'Parametros Generales'!$C$7*R72)*(2/3)</f>
        <v>0</v>
      </c>
      <c r="Y72" s="417"/>
      <c r="Z72" s="417"/>
      <c r="AA72" s="417"/>
      <c r="AB72" s="417">
        <f>+M72*'Parametros Generales'!$C$6*'Parametros Generales'!$J$9</f>
        <v>0</v>
      </c>
      <c r="AC72" s="417">
        <f>+H72*'Parametros Generales'!$J$10*'Parametros Generales'!$C$6*'Parametros Generales'!$C$11</f>
        <v>0</v>
      </c>
      <c r="AD72" s="417"/>
      <c r="AE72" s="417"/>
      <c r="AF72" s="417"/>
      <c r="AG72" s="417"/>
      <c r="AH72" s="417"/>
      <c r="AI72" s="417"/>
      <c r="AJ72" s="417"/>
      <c r="AK72" s="436"/>
      <c r="AL72" s="822"/>
    </row>
    <row r="73" spans="1:38" s="33" customFormat="1" hidden="1" outlineLevel="1">
      <c r="A73" s="1150"/>
      <c r="B73" s="823">
        <v>5</v>
      </c>
      <c r="C73" s="373" t="str">
        <f t="shared" si="6"/>
        <v>ANTIOQUIA</v>
      </c>
      <c r="D73" s="374"/>
      <c r="E73" s="1113"/>
      <c r="F73" s="1104"/>
      <c r="G73" s="375"/>
      <c r="H73" s="1062"/>
      <c r="I73" s="1057"/>
      <c r="J73" s="1058"/>
      <c r="K73" s="1070" t="str">
        <f t="shared" si="4"/>
        <v>Ok</v>
      </c>
      <c r="L73" s="1077">
        <f t="shared" si="5"/>
        <v>0</v>
      </c>
      <c r="M73" s="1091">
        <f>+H73/'Parametros Generales'!$C$8</f>
        <v>0</v>
      </c>
      <c r="N73" s="1098"/>
      <c r="O73" s="1098"/>
      <c r="P73" s="1098"/>
      <c r="Q73" s="1098"/>
      <c r="R73" s="1098">
        <f>+(M73/'Parametros Generales'!$C$9)</f>
        <v>0</v>
      </c>
      <c r="S73" s="395"/>
      <c r="T73" s="395"/>
      <c r="U73" s="395"/>
      <c r="V73" s="396"/>
      <c r="W73" s="376">
        <f>+R73*'Componentes T.H.'!$Q$9*'Parametros Generales'!$C$6</f>
        <v>0</v>
      </c>
      <c r="X73" s="376">
        <f>(+VLOOKUP(C73,'Transporte y Viaticos'!$B$87:$L$120,2,0)*'Parametros Generales'!$C$7*R73)*(2/3)</f>
        <v>0</v>
      </c>
      <c r="Y73" s="417"/>
      <c r="Z73" s="417"/>
      <c r="AA73" s="417"/>
      <c r="AB73" s="417">
        <f>+M73*'Parametros Generales'!$C$6*'Parametros Generales'!$J$9</f>
        <v>0</v>
      </c>
      <c r="AC73" s="417">
        <f>+H73*'Parametros Generales'!$J$10*'Parametros Generales'!$C$6*'Parametros Generales'!$C$11</f>
        <v>0</v>
      </c>
      <c r="AD73" s="417"/>
      <c r="AE73" s="417"/>
      <c r="AF73" s="417"/>
      <c r="AG73" s="417"/>
      <c r="AH73" s="417"/>
      <c r="AI73" s="417"/>
      <c r="AJ73" s="417"/>
      <c r="AK73" s="436"/>
      <c r="AL73" s="822"/>
    </row>
    <row r="74" spans="1:38" s="33" customFormat="1" hidden="1" outlineLevel="1">
      <c r="A74" s="1150"/>
      <c r="B74" s="823">
        <v>5</v>
      </c>
      <c r="C74" s="373" t="str">
        <f t="shared" si="6"/>
        <v>ANTIOQUIA</v>
      </c>
      <c r="D74" s="374"/>
      <c r="E74" s="1113"/>
      <c r="F74" s="1104"/>
      <c r="G74" s="375"/>
      <c r="H74" s="1062"/>
      <c r="I74" s="1057"/>
      <c r="J74" s="1058"/>
      <c r="K74" s="1070" t="str">
        <f t="shared" si="4"/>
        <v>Ok</v>
      </c>
      <c r="L74" s="1077">
        <f t="shared" si="5"/>
        <v>0</v>
      </c>
      <c r="M74" s="1091">
        <f>+H74/'Parametros Generales'!$C$8</f>
        <v>0</v>
      </c>
      <c r="N74" s="1098"/>
      <c r="O74" s="1098"/>
      <c r="P74" s="1098"/>
      <c r="Q74" s="1098"/>
      <c r="R74" s="1098">
        <f>+(M74/'Parametros Generales'!$C$9)</f>
        <v>0</v>
      </c>
      <c r="S74" s="395"/>
      <c r="T74" s="395"/>
      <c r="U74" s="395"/>
      <c r="V74" s="396"/>
      <c r="W74" s="376">
        <f>+R74*'Componentes T.H.'!$Q$9*'Parametros Generales'!$C$6</f>
        <v>0</v>
      </c>
      <c r="X74" s="376">
        <f>(+VLOOKUP(C74,'Transporte y Viaticos'!$B$87:$L$120,2,0)*'Parametros Generales'!$C$7*R74)*(2/3)</f>
        <v>0</v>
      </c>
      <c r="Y74" s="417"/>
      <c r="Z74" s="417"/>
      <c r="AA74" s="417"/>
      <c r="AB74" s="417">
        <f>+M74*'Parametros Generales'!$C$6*'Parametros Generales'!$J$9</f>
        <v>0</v>
      </c>
      <c r="AC74" s="417">
        <f>+H74*'Parametros Generales'!$J$10*'Parametros Generales'!$C$6*'Parametros Generales'!$C$11</f>
        <v>0</v>
      </c>
      <c r="AD74" s="417"/>
      <c r="AE74" s="417"/>
      <c r="AF74" s="417"/>
      <c r="AG74" s="417"/>
      <c r="AH74" s="417"/>
      <c r="AI74" s="417"/>
      <c r="AJ74" s="417"/>
      <c r="AK74" s="436"/>
      <c r="AL74" s="822"/>
    </row>
    <row r="75" spans="1:38" s="33" customFormat="1" hidden="1" outlineLevel="1">
      <c r="A75" s="1150"/>
      <c r="B75" s="823">
        <v>5</v>
      </c>
      <c r="C75" s="373" t="str">
        <f t="shared" si="6"/>
        <v>ANTIOQUIA</v>
      </c>
      <c r="D75" s="374"/>
      <c r="E75" s="1113"/>
      <c r="F75" s="1104"/>
      <c r="G75" s="375"/>
      <c r="H75" s="1062"/>
      <c r="I75" s="1057"/>
      <c r="J75" s="1058"/>
      <c r="K75" s="1070" t="str">
        <f t="shared" si="4"/>
        <v>Ok</v>
      </c>
      <c r="L75" s="1077">
        <f t="shared" si="5"/>
        <v>0</v>
      </c>
      <c r="M75" s="1091">
        <f>+H75/'Parametros Generales'!$C$8</f>
        <v>0</v>
      </c>
      <c r="N75" s="1098"/>
      <c r="O75" s="1098"/>
      <c r="P75" s="1098"/>
      <c r="Q75" s="1098"/>
      <c r="R75" s="1098">
        <f>+(M75/'Parametros Generales'!$C$9)</f>
        <v>0</v>
      </c>
      <c r="S75" s="395"/>
      <c r="T75" s="395"/>
      <c r="U75" s="395"/>
      <c r="V75" s="396"/>
      <c r="W75" s="376">
        <f>+R75*'Componentes T.H.'!$Q$9*'Parametros Generales'!$C$6</f>
        <v>0</v>
      </c>
      <c r="X75" s="376">
        <f>(+VLOOKUP(C75,'Transporte y Viaticos'!$B$87:$L$120,2,0)*'Parametros Generales'!$C$7*R75)*(2/3)</f>
        <v>0</v>
      </c>
      <c r="Y75" s="417"/>
      <c r="Z75" s="417"/>
      <c r="AA75" s="417"/>
      <c r="AB75" s="417">
        <f>+M75*'Parametros Generales'!$C$6*'Parametros Generales'!$J$9</f>
        <v>0</v>
      </c>
      <c r="AC75" s="417">
        <f>+H75*'Parametros Generales'!$J$10*'Parametros Generales'!$C$6*'Parametros Generales'!$C$11</f>
        <v>0</v>
      </c>
      <c r="AD75" s="417"/>
      <c r="AE75" s="417"/>
      <c r="AF75" s="417"/>
      <c r="AG75" s="417"/>
      <c r="AH75" s="417"/>
      <c r="AI75" s="417"/>
      <c r="AJ75" s="417"/>
      <c r="AK75" s="436"/>
      <c r="AL75" s="822"/>
    </row>
    <row r="76" spans="1:38" s="33" customFormat="1" hidden="1" outlineLevel="1">
      <c r="A76" s="1150"/>
      <c r="B76" s="823">
        <v>5</v>
      </c>
      <c r="C76" s="373" t="str">
        <f t="shared" si="6"/>
        <v>ANTIOQUIA</v>
      </c>
      <c r="D76" s="374"/>
      <c r="E76" s="1113"/>
      <c r="F76" s="1104"/>
      <c r="G76" s="375"/>
      <c r="H76" s="1062"/>
      <c r="I76" s="1057"/>
      <c r="J76" s="1058"/>
      <c r="K76" s="1070" t="str">
        <f t="shared" si="4"/>
        <v>Ok</v>
      </c>
      <c r="L76" s="1077">
        <f t="shared" si="5"/>
        <v>0</v>
      </c>
      <c r="M76" s="1091">
        <f>+H76/'Parametros Generales'!$C$8</f>
        <v>0</v>
      </c>
      <c r="N76" s="1098"/>
      <c r="O76" s="1098"/>
      <c r="P76" s="1098"/>
      <c r="Q76" s="1098"/>
      <c r="R76" s="1098">
        <f>+(M76/'Parametros Generales'!$C$9)</f>
        <v>0</v>
      </c>
      <c r="S76" s="395"/>
      <c r="T76" s="395"/>
      <c r="U76" s="395"/>
      <c r="V76" s="396"/>
      <c r="W76" s="376">
        <f>+R76*'Componentes T.H.'!$Q$9*'Parametros Generales'!$C$6</f>
        <v>0</v>
      </c>
      <c r="X76" s="376">
        <f>(+VLOOKUP(C76,'Transporte y Viaticos'!$B$87:$L$120,2,0)*'Parametros Generales'!$C$7*R76)*(2/3)</f>
        <v>0</v>
      </c>
      <c r="Y76" s="417"/>
      <c r="Z76" s="417"/>
      <c r="AA76" s="417"/>
      <c r="AB76" s="417">
        <f>+M76*'Parametros Generales'!$C$6*'Parametros Generales'!$J$9</f>
        <v>0</v>
      </c>
      <c r="AC76" s="417">
        <f>+H76*'Parametros Generales'!$J$10*'Parametros Generales'!$C$6*'Parametros Generales'!$C$11</f>
        <v>0</v>
      </c>
      <c r="AD76" s="417"/>
      <c r="AE76" s="417"/>
      <c r="AF76" s="417"/>
      <c r="AG76" s="417"/>
      <c r="AH76" s="417"/>
      <c r="AI76" s="417"/>
      <c r="AJ76" s="417"/>
      <c r="AK76" s="436"/>
      <c r="AL76" s="822"/>
    </row>
    <row r="77" spans="1:38" s="33" customFormat="1" hidden="1" outlineLevel="1">
      <c r="A77" s="1150"/>
      <c r="B77" s="823">
        <v>5</v>
      </c>
      <c r="C77" s="373" t="str">
        <f t="shared" si="6"/>
        <v>ANTIOQUIA</v>
      </c>
      <c r="D77" s="374"/>
      <c r="E77" s="1113"/>
      <c r="F77" s="1104"/>
      <c r="G77" s="375"/>
      <c r="H77" s="1062"/>
      <c r="I77" s="1057"/>
      <c r="J77" s="1058"/>
      <c r="K77" s="1070" t="str">
        <f t="shared" si="4"/>
        <v>Ok</v>
      </c>
      <c r="L77" s="1077">
        <f t="shared" si="5"/>
        <v>0</v>
      </c>
      <c r="M77" s="1091">
        <f>+H77/'Parametros Generales'!$C$8</f>
        <v>0</v>
      </c>
      <c r="N77" s="1098"/>
      <c r="O77" s="1098"/>
      <c r="P77" s="1098"/>
      <c r="Q77" s="1098"/>
      <c r="R77" s="1098">
        <f>+(M77/'Parametros Generales'!$C$9)</f>
        <v>0</v>
      </c>
      <c r="S77" s="395"/>
      <c r="T77" s="395"/>
      <c r="U77" s="395"/>
      <c r="V77" s="396"/>
      <c r="W77" s="376">
        <f>+R77*'Componentes T.H.'!$Q$9*'Parametros Generales'!$C$6</f>
        <v>0</v>
      </c>
      <c r="X77" s="376">
        <f>(+VLOOKUP(C77,'Transporte y Viaticos'!$B$87:$L$120,2,0)*'Parametros Generales'!$C$7*R77)*(2/3)</f>
        <v>0</v>
      </c>
      <c r="Y77" s="417"/>
      <c r="Z77" s="417"/>
      <c r="AA77" s="417"/>
      <c r="AB77" s="417">
        <f>+M77*'Parametros Generales'!$C$6*'Parametros Generales'!$J$9</f>
        <v>0</v>
      </c>
      <c r="AC77" s="417">
        <f>+H77*'Parametros Generales'!$J$10*'Parametros Generales'!$C$6*'Parametros Generales'!$C$11</f>
        <v>0</v>
      </c>
      <c r="AD77" s="417"/>
      <c r="AE77" s="417"/>
      <c r="AF77" s="417"/>
      <c r="AG77" s="417"/>
      <c r="AH77" s="417"/>
      <c r="AI77" s="417"/>
      <c r="AJ77" s="417"/>
      <c r="AK77" s="436"/>
      <c r="AL77" s="822"/>
    </row>
    <row r="78" spans="1:38" s="33" customFormat="1" hidden="1" outlineLevel="1">
      <c r="A78" s="1150"/>
      <c r="B78" s="823">
        <v>5</v>
      </c>
      <c r="C78" s="373" t="str">
        <f t="shared" si="6"/>
        <v>ANTIOQUIA</v>
      </c>
      <c r="D78" s="374"/>
      <c r="E78" s="1113"/>
      <c r="F78" s="1104"/>
      <c r="G78" s="375"/>
      <c r="H78" s="1062"/>
      <c r="I78" s="1057"/>
      <c r="J78" s="1058"/>
      <c r="K78" s="1070" t="str">
        <f t="shared" si="4"/>
        <v>Ok</v>
      </c>
      <c r="L78" s="1077">
        <f t="shared" si="5"/>
        <v>0</v>
      </c>
      <c r="M78" s="1091">
        <f>+H78/'Parametros Generales'!$C$8</f>
        <v>0</v>
      </c>
      <c r="N78" s="1098"/>
      <c r="O78" s="1098"/>
      <c r="P78" s="1098"/>
      <c r="Q78" s="1098"/>
      <c r="R78" s="1098">
        <f>+(M78/'Parametros Generales'!$C$9)</f>
        <v>0</v>
      </c>
      <c r="S78" s="395"/>
      <c r="T78" s="395"/>
      <c r="U78" s="395"/>
      <c r="V78" s="396"/>
      <c r="W78" s="376">
        <f>+R78*'Componentes T.H.'!$Q$9*'Parametros Generales'!$C$6</f>
        <v>0</v>
      </c>
      <c r="X78" s="376">
        <f>(+VLOOKUP(C78,'Transporte y Viaticos'!$B$87:$L$120,2,0)*'Parametros Generales'!$C$7*R78)*(2/3)</f>
        <v>0</v>
      </c>
      <c r="Y78" s="417"/>
      <c r="Z78" s="417"/>
      <c r="AA78" s="417"/>
      <c r="AB78" s="417">
        <f>+M78*'Parametros Generales'!$C$6*'Parametros Generales'!$J$9</f>
        <v>0</v>
      </c>
      <c r="AC78" s="417">
        <f>+H78*'Parametros Generales'!$J$10*'Parametros Generales'!$C$6*'Parametros Generales'!$C$11</f>
        <v>0</v>
      </c>
      <c r="AD78" s="417"/>
      <c r="AE78" s="417"/>
      <c r="AF78" s="417"/>
      <c r="AG78" s="417"/>
      <c r="AH78" s="417"/>
      <c r="AI78" s="417"/>
      <c r="AJ78" s="417"/>
      <c r="AK78" s="436"/>
      <c r="AL78" s="822"/>
    </row>
    <row r="79" spans="1:38" s="33" customFormat="1" hidden="1" outlineLevel="1">
      <c r="A79" s="1150"/>
      <c r="B79" s="823">
        <v>5</v>
      </c>
      <c r="C79" s="373" t="str">
        <f t="shared" si="6"/>
        <v>ANTIOQUIA</v>
      </c>
      <c r="D79" s="374"/>
      <c r="E79" s="1113"/>
      <c r="F79" s="1104"/>
      <c r="G79" s="375"/>
      <c r="H79" s="1062"/>
      <c r="I79" s="1057"/>
      <c r="J79" s="1058"/>
      <c r="K79" s="1070" t="str">
        <f t="shared" si="4"/>
        <v>Ok</v>
      </c>
      <c r="L79" s="1077">
        <f t="shared" si="5"/>
        <v>0</v>
      </c>
      <c r="M79" s="1091">
        <f>+H79/'Parametros Generales'!$C$8</f>
        <v>0</v>
      </c>
      <c r="N79" s="1098"/>
      <c r="O79" s="1098"/>
      <c r="P79" s="1098"/>
      <c r="Q79" s="1098"/>
      <c r="R79" s="1098">
        <f>+(M79/'Parametros Generales'!$C$9)</f>
        <v>0</v>
      </c>
      <c r="S79" s="395"/>
      <c r="T79" s="395"/>
      <c r="U79" s="395"/>
      <c r="V79" s="396"/>
      <c r="W79" s="376">
        <f>+R79*'Componentes T.H.'!$Q$9*'Parametros Generales'!$C$6</f>
        <v>0</v>
      </c>
      <c r="X79" s="376">
        <f>(+VLOOKUP(C79,'Transporte y Viaticos'!$B$87:$L$120,2,0)*'Parametros Generales'!$C$7*R79)*(2/3)</f>
        <v>0</v>
      </c>
      <c r="Y79" s="417"/>
      <c r="Z79" s="417"/>
      <c r="AA79" s="417"/>
      <c r="AB79" s="417">
        <f>+M79*'Parametros Generales'!$C$6*'Parametros Generales'!$J$9</f>
        <v>0</v>
      </c>
      <c r="AC79" s="417">
        <f>+H79*'Parametros Generales'!$J$10*'Parametros Generales'!$C$6*'Parametros Generales'!$C$11</f>
        <v>0</v>
      </c>
      <c r="AD79" s="417"/>
      <c r="AE79" s="417"/>
      <c r="AF79" s="417"/>
      <c r="AG79" s="417"/>
      <c r="AH79" s="417"/>
      <c r="AI79" s="417"/>
      <c r="AJ79" s="417"/>
      <c r="AK79" s="436"/>
      <c r="AL79" s="822"/>
    </row>
    <row r="80" spans="1:38" s="33" customFormat="1" hidden="1" outlineLevel="1">
      <c r="A80" s="1150"/>
      <c r="B80" s="823">
        <v>5</v>
      </c>
      <c r="C80" s="373" t="str">
        <f t="shared" si="6"/>
        <v>ANTIOQUIA</v>
      </c>
      <c r="D80" s="374"/>
      <c r="E80" s="1113"/>
      <c r="F80" s="1104"/>
      <c r="G80" s="375"/>
      <c r="H80" s="1062"/>
      <c r="I80" s="1057"/>
      <c r="J80" s="1058"/>
      <c r="K80" s="1070" t="str">
        <f t="shared" si="4"/>
        <v>Ok</v>
      </c>
      <c r="L80" s="1077">
        <f t="shared" si="5"/>
        <v>0</v>
      </c>
      <c r="M80" s="1091">
        <f>+H80/'Parametros Generales'!$C$8</f>
        <v>0</v>
      </c>
      <c r="N80" s="1098"/>
      <c r="O80" s="1098"/>
      <c r="P80" s="1098"/>
      <c r="Q80" s="1098"/>
      <c r="R80" s="1098">
        <f>+(M80/'Parametros Generales'!$C$9)</f>
        <v>0</v>
      </c>
      <c r="S80" s="395"/>
      <c r="T80" s="395"/>
      <c r="U80" s="395"/>
      <c r="V80" s="396"/>
      <c r="W80" s="376">
        <f>+R80*'Componentes T.H.'!$Q$9*'Parametros Generales'!$C$6</f>
        <v>0</v>
      </c>
      <c r="X80" s="376">
        <f>(+VLOOKUP(C80,'Transporte y Viaticos'!$B$87:$L$120,2,0)*'Parametros Generales'!$C$7*R80)*(2/3)</f>
        <v>0</v>
      </c>
      <c r="Y80" s="417"/>
      <c r="Z80" s="417"/>
      <c r="AA80" s="417"/>
      <c r="AB80" s="417">
        <f>+M80*'Parametros Generales'!$C$6*'Parametros Generales'!$J$9</f>
        <v>0</v>
      </c>
      <c r="AC80" s="417">
        <f>+H80*'Parametros Generales'!$J$10*'Parametros Generales'!$C$6*'Parametros Generales'!$C$11</f>
        <v>0</v>
      </c>
      <c r="AD80" s="417"/>
      <c r="AE80" s="417"/>
      <c r="AF80" s="417"/>
      <c r="AG80" s="417"/>
      <c r="AH80" s="417"/>
      <c r="AI80" s="417"/>
      <c r="AJ80" s="417"/>
      <c r="AK80" s="436"/>
      <c r="AL80" s="822"/>
    </row>
    <row r="81" spans="1:38" s="33" customFormat="1" hidden="1" outlineLevel="1">
      <c r="A81" s="1150"/>
      <c r="B81" s="823">
        <v>5</v>
      </c>
      <c r="C81" s="373" t="str">
        <f t="shared" si="6"/>
        <v>ANTIOQUIA</v>
      </c>
      <c r="D81" s="374"/>
      <c r="E81" s="1113"/>
      <c r="F81" s="1104"/>
      <c r="G81" s="375"/>
      <c r="H81" s="1062"/>
      <c r="I81" s="1057"/>
      <c r="J81" s="1058"/>
      <c r="K81" s="1070" t="str">
        <f t="shared" si="4"/>
        <v>Ok</v>
      </c>
      <c r="L81" s="1077">
        <f t="shared" si="5"/>
        <v>0</v>
      </c>
      <c r="M81" s="1091">
        <f>+H81/'Parametros Generales'!$C$8</f>
        <v>0</v>
      </c>
      <c r="N81" s="1098"/>
      <c r="O81" s="1098"/>
      <c r="P81" s="1098"/>
      <c r="Q81" s="1098"/>
      <c r="R81" s="1098">
        <f>+(M81/'Parametros Generales'!$C$9)</f>
        <v>0</v>
      </c>
      <c r="S81" s="395"/>
      <c r="T81" s="395"/>
      <c r="U81" s="395"/>
      <c r="V81" s="396"/>
      <c r="W81" s="376">
        <f>+R81*'Componentes T.H.'!$Q$9*'Parametros Generales'!$C$6</f>
        <v>0</v>
      </c>
      <c r="X81" s="376">
        <f>(+VLOOKUP(C81,'Transporte y Viaticos'!$B$87:$L$120,2,0)*'Parametros Generales'!$C$7*R81)*(2/3)</f>
        <v>0</v>
      </c>
      <c r="Y81" s="417"/>
      <c r="Z81" s="417"/>
      <c r="AA81" s="417"/>
      <c r="AB81" s="417">
        <f>+M81*'Parametros Generales'!$C$6*'Parametros Generales'!$J$9</f>
        <v>0</v>
      </c>
      <c r="AC81" s="417">
        <f>+H81*'Parametros Generales'!$J$10*'Parametros Generales'!$C$6*'Parametros Generales'!$C$11</f>
        <v>0</v>
      </c>
      <c r="AD81" s="417"/>
      <c r="AE81" s="417"/>
      <c r="AF81" s="417"/>
      <c r="AG81" s="417"/>
      <c r="AH81" s="417"/>
      <c r="AI81" s="417"/>
      <c r="AJ81" s="417"/>
      <c r="AK81" s="436"/>
      <c r="AL81" s="822"/>
    </row>
    <row r="82" spans="1:38" s="33" customFormat="1" hidden="1" outlineLevel="1">
      <c r="A82" s="1150"/>
      <c r="B82" s="823">
        <v>5</v>
      </c>
      <c r="C82" s="373" t="str">
        <f t="shared" si="6"/>
        <v>ANTIOQUIA</v>
      </c>
      <c r="D82" s="374"/>
      <c r="E82" s="1113"/>
      <c r="F82" s="1104"/>
      <c r="G82" s="375"/>
      <c r="H82" s="1062"/>
      <c r="I82" s="1057"/>
      <c r="J82" s="1058"/>
      <c r="K82" s="1070" t="str">
        <f t="shared" si="4"/>
        <v>Ok</v>
      </c>
      <c r="L82" s="1077">
        <f t="shared" si="5"/>
        <v>0</v>
      </c>
      <c r="M82" s="1091">
        <f>+H82/'Parametros Generales'!$C$8</f>
        <v>0</v>
      </c>
      <c r="N82" s="1098"/>
      <c r="O82" s="1098"/>
      <c r="P82" s="1098"/>
      <c r="Q82" s="1098"/>
      <c r="R82" s="1098">
        <f>+(M82/'Parametros Generales'!$C$9)</f>
        <v>0</v>
      </c>
      <c r="S82" s="395"/>
      <c r="T82" s="395"/>
      <c r="U82" s="395"/>
      <c r="V82" s="396"/>
      <c r="W82" s="376">
        <f>+R82*'Componentes T.H.'!$Q$9*'Parametros Generales'!$C$6</f>
        <v>0</v>
      </c>
      <c r="X82" s="376">
        <f>(+VLOOKUP(C82,'Transporte y Viaticos'!$B$87:$L$120,2,0)*'Parametros Generales'!$C$7*R82)*(2/3)</f>
        <v>0</v>
      </c>
      <c r="Y82" s="417"/>
      <c r="Z82" s="417"/>
      <c r="AA82" s="417"/>
      <c r="AB82" s="417">
        <f>+M82*'Parametros Generales'!$C$6*'Parametros Generales'!$J$9</f>
        <v>0</v>
      </c>
      <c r="AC82" s="417">
        <f>+H82*'Parametros Generales'!$J$10*'Parametros Generales'!$C$6*'Parametros Generales'!$C$11</f>
        <v>0</v>
      </c>
      <c r="AD82" s="417"/>
      <c r="AE82" s="417"/>
      <c r="AF82" s="417"/>
      <c r="AG82" s="417"/>
      <c r="AH82" s="417"/>
      <c r="AI82" s="417"/>
      <c r="AJ82" s="417"/>
      <c r="AK82" s="436"/>
      <c r="AL82" s="822"/>
    </row>
    <row r="83" spans="1:38" s="33" customFormat="1" hidden="1" outlineLevel="1">
      <c r="A83" s="1150"/>
      <c r="B83" s="823">
        <v>5</v>
      </c>
      <c r="C83" s="373" t="str">
        <f t="shared" si="6"/>
        <v>ANTIOQUIA</v>
      </c>
      <c r="D83" s="374"/>
      <c r="E83" s="1113"/>
      <c r="F83" s="1104"/>
      <c r="G83" s="375"/>
      <c r="H83" s="1062"/>
      <c r="I83" s="1057"/>
      <c r="J83" s="1058"/>
      <c r="K83" s="1070" t="str">
        <f t="shared" si="4"/>
        <v>Ok</v>
      </c>
      <c r="L83" s="1077">
        <f t="shared" si="5"/>
        <v>0</v>
      </c>
      <c r="M83" s="1091">
        <f>+H83/'Parametros Generales'!$C$8</f>
        <v>0</v>
      </c>
      <c r="N83" s="1098"/>
      <c r="O83" s="1098"/>
      <c r="P83" s="1098"/>
      <c r="Q83" s="1098"/>
      <c r="R83" s="1098">
        <f>+(M83/'Parametros Generales'!$C$9)</f>
        <v>0</v>
      </c>
      <c r="S83" s="395"/>
      <c r="T83" s="395"/>
      <c r="U83" s="395"/>
      <c r="V83" s="396"/>
      <c r="W83" s="376">
        <f>+R83*'Componentes T.H.'!$Q$9*'Parametros Generales'!$C$6</f>
        <v>0</v>
      </c>
      <c r="X83" s="376">
        <f>(+VLOOKUP(C83,'Transporte y Viaticos'!$B$87:$L$120,2,0)*'Parametros Generales'!$C$7*R83)*(2/3)</f>
        <v>0</v>
      </c>
      <c r="Y83" s="417"/>
      <c r="Z83" s="417"/>
      <c r="AA83" s="417"/>
      <c r="AB83" s="417">
        <f>+M83*'Parametros Generales'!$C$6*'Parametros Generales'!$J$9</f>
        <v>0</v>
      </c>
      <c r="AC83" s="417">
        <f>+H83*'Parametros Generales'!$J$10*'Parametros Generales'!$C$6*'Parametros Generales'!$C$11</f>
        <v>0</v>
      </c>
      <c r="AD83" s="417"/>
      <c r="AE83" s="417"/>
      <c r="AF83" s="417"/>
      <c r="AG83" s="417"/>
      <c r="AH83" s="417"/>
      <c r="AI83" s="417"/>
      <c r="AJ83" s="417"/>
      <c r="AK83" s="436"/>
      <c r="AL83" s="822"/>
    </row>
    <row r="84" spans="1:38" s="33" customFormat="1" hidden="1" outlineLevel="1">
      <c r="A84" s="1150"/>
      <c r="B84" s="823">
        <v>5</v>
      </c>
      <c r="C84" s="373" t="str">
        <f t="shared" si="6"/>
        <v>ANTIOQUIA</v>
      </c>
      <c r="D84" s="374"/>
      <c r="E84" s="1113"/>
      <c r="F84" s="1104"/>
      <c r="G84" s="375"/>
      <c r="H84" s="1062"/>
      <c r="I84" s="1057"/>
      <c r="J84" s="1058"/>
      <c r="K84" s="1070" t="str">
        <f t="shared" si="4"/>
        <v>Ok</v>
      </c>
      <c r="L84" s="1077">
        <f t="shared" si="5"/>
        <v>0</v>
      </c>
      <c r="M84" s="1091">
        <f>+H84/'Parametros Generales'!$C$8</f>
        <v>0</v>
      </c>
      <c r="N84" s="1098"/>
      <c r="O84" s="1098"/>
      <c r="P84" s="1098"/>
      <c r="Q84" s="1098"/>
      <c r="R84" s="1098">
        <f>+(M84/'Parametros Generales'!$C$9)</f>
        <v>0</v>
      </c>
      <c r="S84" s="395"/>
      <c r="T84" s="395"/>
      <c r="U84" s="395"/>
      <c r="V84" s="396"/>
      <c r="W84" s="376">
        <f>+R84*'Componentes T.H.'!$Q$9*'Parametros Generales'!$C$6</f>
        <v>0</v>
      </c>
      <c r="X84" s="376">
        <f>(+VLOOKUP(C84,'Transporte y Viaticos'!$B$87:$L$120,2,0)*'Parametros Generales'!$C$7*R84)*(2/3)</f>
        <v>0</v>
      </c>
      <c r="Y84" s="417"/>
      <c r="Z84" s="417"/>
      <c r="AA84" s="417"/>
      <c r="AB84" s="417">
        <f>+M84*'Parametros Generales'!$C$6*'Parametros Generales'!$J$9</f>
        <v>0</v>
      </c>
      <c r="AC84" s="417">
        <f>+H84*'Parametros Generales'!$J$10*'Parametros Generales'!$C$6*'Parametros Generales'!$C$11</f>
        <v>0</v>
      </c>
      <c r="AD84" s="417"/>
      <c r="AE84" s="417"/>
      <c r="AF84" s="417"/>
      <c r="AG84" s="417"/>
      <c r="AH84" s="417"/>
      <c r="AI84" s="417"/>
      <c r="AJ84" s="417"/>
      <c r="AK84" s="436"/>
      <c r="AL84" s="822"/>
    </row>
    <row r="85" spans="1:38" s="33" customFormat="1" hidden="1" outlineLevel="1">
      <c r="A85" s="1150"/>
      <c r="B85" s="823">
        <v>5</v>
      </c>
      <c r="C85" s="373" t="str">
        <f t="shared" si="6"/>
        <v>ANTIOQUIA</v>
      </c>
      <c r="D85" s="374"/>
      <c r="E85" s="1113"/>
      <c r="F85" s="1104"/>
      <c r="G85" s="375"/>
      <c r="H85" s="1062"/>
      <c r="I85" s="1057"/>
      <c r="J85" s="1058"/>
      <c r="K85" s="1070" t="str">
        <f t="shared" si="4"/>
        <v>Ok</v>
      </c>
      <c r="L85" s="1077">
        <f t="shared" si="5"/>
        <v>0</v>
      </c>
      <c r="M85" s="1091">
        <f>+H85/'Parametros Generales'!$C$8</f>
        <v>0</v>
      </c>
      <c r="N85" s="1098"/>
      <c r="O85" s="1098"/>
      <c r="P85" s="1098"/>
      <c r="Q85" s="1098"/>
      <c r="R85" s="1098">
        <f>+(M85/'Parametros Generales'!$C$9)</f>
        <v>0</v>
      </c>
      <c r="S85" s="395"/>
      <c r="T85" s="395"/>
      <c r="U85" s="395"/>
      <c r="V85" s="396"/>
      <c r="W85" s="376">
        <f>+R85*'Componentes T.H.'!$Q$9*'Parametros Generales'!$C$6</f>
        <v>0</v>
      </c>
      <c r="X85" s="376">
        <f>(+VLOOKUP(C85,'Transporte y Viaticos'!$B$87:$L$120,2,0)*'Parametros Generales'!$C$7*R85)*(2/3)</f>
        <v>0</v>
      </c>
      <c r="Y85" s="417"/>
      <c r="Z85" s="417"/>
      <c r="AA85" s="417"/>
      <c r="AB85" s="417">
        <f>+M85*'Parametros Generales'!$C$6*'Parametros Generales'!$J$9</f>
        <v>0</v>
      </c>
      <c r="AC85" s="417">
        <f>+H85*'Parametros Generales'!$J$10*'Parametros Generales'!$C$6*'Parametros Generales'!$C$11</f>
        <v>0</v>
      </c>
      <c r="AD85" s="417"/>
      <c r="AE85" s="417"/>
      <c r="AF85" s="417"/>
      <c r="AG85" s="417"/>
      <c r="AH85" s="417"/>
      <c r="AI85" s="417"/>
      <c r="AJ85" s="417"/>
      <c r="AK85" s="436"/>
      <c r="AL85" s="822"/>
    </row>
    <row r="86" spans="1:38" s="33" customFormat="1" hidden="1" outlineLevel="1">
      <c r="A86" s="1150"/>
      <c r="B86" s="823">
        <v>5</v>
      </c>
      <c r="C86" s="373" t="str">
        <f t="shared" si="6"/>
        <v>ANTIOQUIA</v>
      </c>
      <c r="D86" s="374"/>
      <c r="E86" s="1113"/>
      <c r="F86" s="1104"/>
      <c r="G86" s="375"/>
      <c r="H86" s="1062"/>
      <c r="I86" s="1057"/>
      <c r="J86" s="1058"/>
      <c r="K86" s="1070" t="str">
        <f t="shared" si="4"/>
        <v>Ok</v>
      </c>
      <c r="L86" s="1077">
        <f t="shared" si="5"/>
        <v>0</v>
      </c>
      <c r="M86" s="1091">
        <f>+H86/'Parametros Generales'!$C$8</f>
        <v>0</v>
      </c>
      <c r="N86" s="1098"/>
      <c r="O86" s="1098"/>
      <c r="P86" s="1098"/>
      <c r="Q86" s="1098"/>
      <c r="R86" s="1098">
        <f>+(M86/'Parametros Generales'!$C$9)</f>
        <v>0</v>
      </c>
      <c r="S86" s="395"/>
      <c r="T86" s="395"/>
      <c r="U86" s="395"/>
      <c r="V86" s="396"/>
      <c r="W86" s="376">
        <f>+R86*'Componentes T.H.'!$Q$9*'Parametros Generales'!$C$6</f>
        <v>0</v>
      </c>
      <c r="X86" s="376">
        <f>(+VLOOKUP(C86,'Transporte y Viaticos'!$B$87:$L$120,2,0)*'Parametros Generales'!$C$7*R86)*(2/3)</f>
        <v>0</v>
      </c>
      <c r="Y86" s="417"/>
      <c r="Z86" s="417"/>
      <c r="AA86" s="417"/>
      <c r="AB86" s="417">
        <f>+M86*'Parametros Generales'!$C$6*'Parametros Generales'!$J$9</f>
        <v>0</v>
      </c>
      <c r="AC86" s="417">
        <f>+H86*'Parametros Generales'!$J$10*'Parametros Generales'!$C$6*'Parametros Generales'!$C$11</f>
        <v>0</v>
      </c>
      <c r="AD86" s="417"/>
      <c r="AE86" s="417"/>
      <c r="AF86" s="417"/>
      <c r="AG86" s="417"/>
      <c r="AH86" s="417"/>
      <c r="AI86" s="417"/>
      <c r="AJ86" s="417"/>
      <c r="AK86" s="436"/>
      <c r="AL86" s="822"/>
    </row>
    <row r="87" spans="1:38" s="33" customFormat="1" hidden="1" outlineLevel="1">
      <c r="A87" s="1150"/>
      <c r="B87" s="823">
        <v>5</v>
      </c>
      <c r="C87" s="373" t="str">
        <f t="shared" si="6"/>
        <v>ANTIOQUIA</v>
      </c>
      <c r="D87" s="374"/>
      <c r="E87" s="1113"/>
      <c r="F87" s="1104"/>
      <c r="G87" s="375"/>
      <c r="H87" s="1062"/>
      <c r="I87" s="1057"/>
      <c r="J87" s="1058"/>
      <c r="K87" s="1070" t="str">
        <f t="shared" si="4"/>
        <v>Ok</v>
      </c>
      <c r="L87" s="1077">
        <f t="shared" si="5"/>
        <v>0</v>
      </c>
      <c r="M87" s="1091">
        <f>+H87/'Parametros Generales'!$C$8</f>
        <v>0</v>
      </c>
      <c r="N87" s="1098"/>
      <c r="O87" s="1098"/>
      <c r="P87" s="1098"/>
      <c r="Q87" s="1098"/>
      <c r="R87" s="1098">
        <f>+(M87/'Parametros Generales'!$C$9)</f>
        <v>0</v>
      </c>
      <c r="S87" s="395"/>
      <c r="T87" s="395"/>
      <c r="U87" s="395"/>
      <c r="V87" s="396"/>
      <c r="W87" s="376">
        <f>+R87*'Componentes T.H.'!$Q$9*'Parametros Generales'!$C$6</f>
        <v>0</v>
      </c>
      <c r="X87" s="376">
        <f>(+VLOOKUP(C87,'Transporte y Viaticos'!$B$87:$L$120,2,0)*'Parametros Generales'!$C$7*R87)*(2/3)</f>
        <v>0</v>
      </c>
      <c r="Y87" s="417"/>
      <c r="Z87" s="417"/>
      <c r="AA87" s="417"/>
      <c r="AB87" s="417">
        <f>+M87*'Parametros Generales'!$C$6*'Parametros Generales'!$J$9</f>
        <v>0</v>
      </c>
      <c r="AC87" s="417">
        <f>+H87*'Parametros Generales'!$J$10*'Parametros Generales'!$C$6*'Parametros Generales'!$C$11</f>
        <v>0</v>
      </c>
      <c r="AD87" s="417"/>
      <c r="AE87" s="417"/>
      <c r="AF87" s="417"/>
      <c r="AG87" s="417"/>
      <c r="AH87" s="417"/>
      <c r="AI87" s="417"/>
      <c r="AJ87" s="417"/>
      <c r="AK87" s="436"/>
      <c r="AL87" s="822"/>
    </row>
    <row r="88" spans="1:38" s="33" customFormat="1" hidden="1" outlineLevel="1">
      <c r="A88" s="1150"/>
      <c r="B88" s="823">
        <v>5</v>
      </c>
      <c r="C88" s="373" t="str">
        <f t="shared" si="6"/>
        <v>ANTIOQUIA</v>
      </c>
      <c r="D88" s="374"/>
      <c r="E88" s="1113"/>
      <c r="F88" s="1104"/>
      <c r="G88" s="375"/>
      <c r="H88" s="1062"/>
      <c r="I88" s="1057"/>
      <c r="J88" s="1058"/>
      <c r="K88" s="1070" t="str">
        <f t="shared" si="4"/>
        <v>Ok</v>
      </c>
      <c r="L88" s="1077">
        <f t="shared" si="5"/>
        <v>0</v>
      </c>
      <c r="M88" s="1091">
        <f>+H88/'Parametros Generales'!$C$8</f>
        <v>0</v>
      </c>
      <c r="N88" s="1098"/>
      <c r="O88" s="1098"/>
      <c r="P88" s="1098"/>
      <c r="Q88" s="1098"/>
      <c r="R88" s="1098">
        <f>+(M88/'Parametros Generales'!$C$9)</f>
        <v>0</v>
      </c>
      <c r="S88" s="395"/>
      <c r="T88" s="395"/>
      <c r="U88" s="395"/>
      <c r="V88" s="396"/>
      <c r="W88" s="376">
        <f>+R88*'Componentes T.H.'!$Q$9*'Parametros Generales'!$C$6</f>
        <v>0</v>
      </c>
      <c r="X88" s="376">
        <f>(+VLOOKUP(C88,'Transporte y Viaticos'!$B$87:$L$120,2,0)*'Parametros Generales'!$C$7*R88)*(2/3)</f>
        <v>0</v>
      </c>
      <c r="Y88" s="417"/>
      <c r="Z88" s="417"/>
      <c r="AA88" s="417"/>
      <c r="AB88" s="417">
        <f>+M88*'Parametros Generales'!$C$6*'Parametros Generales'!$J$9</f>
        <v>0</v>
      </c>
      <c r="AC88" s="417">
        <f>+H88*'Parametros Generales'!$J$10*'Parametros Generales'!$C$6*'Parametros Generales'!$C$11</f>
        <v>0</v>
      </c>
      <c r="AD88" s="417"/>
      <c r="AE88" s="417"/>
      <c r="AF88" s="417"/>
      <c r="AG88" s="417"/>
      <c r="AH88" s="417"/>
      <c r="AI88" s="417"/>
      <c r="AJ88" s="417"/>
      <c r="AK88" s="436"/>
      <c r="AL88" s="822"/>
    </row>
    <row r="89" spans="1:38" s="33" customFormat="1" hidden="1" outlineLevel="1">
      <c r="A89" s="1150"/>
      <c r="B89" s="823">
        <v>5</v>
      </c>
      <c r="C89" s="373" t="str">
        <f t="shared" si="6"/>
        <v>ANTIOQUIA</v>
      </c>
      <c r="D89" s="374"/>
      <c r="E89" s="1113"/>
      <c r="F89" s="1104"/>
      <c r="G89" s="375"/>
      <c r="H89" s="1062"/>
      <c r="I89" s="1057"/>
      <c r="J89" s="1058"/>
      <c r="K89" s="1070" t="str">
        <f t="shared" si="4"/>
        <v>Ok</v>
      </c>
      <c r="L89" s="1077">
        <f t="shared" si="5"/>
        <v>0</v>
      </c>
      <c r="M89" s="1091">
        <f>+H89/'Parametros Generales'!$C$8</f>
        <v>0</v>
      </c>
      <c r="N89" s="1098"/>
      <c r="O89" s="1098"/>
      <c r="P89" s="1098"/>
      <c r="Q89" s="1098"/>
      <c r="R89" s="1098">
        <f>+(M89/'Parametros Generales'!$C$9)</f>
        <v>0</v>
      </c>
      <c r="S89" s="395"/>
      <c r="T89" s="395"/>
      <c r="U89" s="395"/>
      <c r="V89" s="396"/>
      <c r="W89" s="376">
        <f>+R89*'Componentes T.H.'!$Q$9*'Parametros Generales'!$C$6</f>
        <v>0</v>
      </c>
      <c r="X89" s="376">
        <f>(+VLOOKUP(C89,'Transporte y Viaticos'!$B$87:$L$120,2,0)*'Parametros Generales'!$C$7*R89)*(2/3)</f>
        <v>0</v>
      </c>
      <c r="Y89" s="417"/>
      <c r="Z89" s="417"/>
      <c r="AA89" s="417"/>
      <c r="AB89" s="417">
        <f>+M89*'Parametros Generales'!$C$6*'Parametros Generales'!$J$9</f>
        <v>0</v>
      </c>
      <c r="AC89" s="417">
        <f>+H89*'Parametros Generales'!$J$10*'Parametros Generales'!$C$6*'Parametros Generales'!$C$11</f>
        <v>0</v>
      </c>
      <c r="AD89" s="417"/>
      <c r="AE89" s="417"/>
      <c r="AF89" s="417"/>
      <c r="AG89" s="417"/>
      <c r="AH89" s="417"/>
      <c r="AI89" s="417"/>
      <c r="AJ89" s="417"/>
      <c r="AK89" s="436"/>
      <c r="AL89" s="822"/>
    </row>
    <row r="90" spans="1:38" s="33" customFormat="1" hidden="1" outlineLevel="1">
      <c r="A90" s="1150"/>
      <c r="B90" s="823">
        <v>5</v>
      </c>
      <c r="C90" s="373" t="str">
        <f t="shared" si="6"/>
        <v>ANTIOQUIA</v>
      </c>
      <c r="D90" s="374"/>
      <c r="E90" s="1113"/>
      <c r="F90" s="1104"/>
      <c r="G90" s="375"/>
      <c r="H90" s="1062"/>
      <c r="I90" s="1057"/>
      <c r="J90" s="1058"/>
      <c r="K90" s="1070" t="str">
        <f t="shared" si="4"/>
        <v>Ok</v>
      </c>
      <c r="L90" s="1077">
        <f t="shared" si="5"/>
        <v>0</v>
      </c>
      <c r="M90" s="1091">
        <f>+H90/'Parametros Generales'!$C$8</f>
        <v>0</v>
      </c>
      <c r="N90" s="1098"/>
      <c r="O90" s="1098"/>
      <c r="P90" s="1098"/>
      <c r="Q90" s="1098"/>
      <c r="R90" s="1098">
        <f>+(M90/'Parametros Generales'!$C$9)</f>
        <v>0</v>
      </c>
      <c r="S90" s="395"/>
      <c r="T90" s="395"/>
      <c r="U90" s="395"/>
      <c r="V90" s="396"/>
      <c r="W90" s="376">
        <f>+R90*'Componentes T.H.'!$Q$9*'Parametros Generales'!$C$6</f>
        <v>0</v>
      </c>
      <c r="X90" s="376">
        <f>(+VLOOKUP(C90,'Transporte y Viaticos'!$B$87:$L$120,2,0)*'Parametros Generales'!$C$7*R90)*(2/3)</f>
        <v>0</v>
      </c>
      <c r="Y90" s="417"/>
      <c r="Z90" s="417"/>
      <c r="AA90" s="417"/>
      <c r="AB90" s="417">
        <f>+M90*'Parametros Generales'!$C$6*'Parametros Generales'!$J$9</f>
        <v>0</v>
      </c>
      <c r="AC90" s="417">
        <f>+H90*'Parametros Generales'!$J$10*'Parametros Generales'!$C$6*'Parametros Generales'!$C$11</f>
        <v>0</v>
      </c>
      <c r="AD90" s="417"/>
      <c r="AE90" s="417"/>
      <c r="AF90" s="417"/>
      <c r="AG90" s="417"/>
      <c r="AH90" s="417"/>
      <c r="AI90" s="417"/>
      <c r="AJ90" s="417"/>
      <c r="AK90" s="436"/>
      <c r="AL90" s="822"/>
    </row>
    <row r="91" spans="1:38" s="33" customFormat="1" hidden="1" outlineLevel="1">
      <c r="A91" s="1150"/>
      <c r="B91" s="823">
        <v>5</v>
      </c>
      <c r="C91" s="373" t="str">
        <f t="shared" si="6"/>
        <v>ANTIOQUIA</v>
      </c>
      <c r="D91" s="374"/>
      <c r="E91" s="1113"/>
      <c r="F91" s="1104"/>
      <c r="G91" s="375"/>
      <c r="H91" s="1062"/>
      <c r="I91" s="1057"/>
      <c r="J91" s="1058"/>
      <c r="K91" s="1070" t="str">
        <f t="shared" si="4"/>
        <v>Ok</v>
      </c>
      <c r="L91" s="1077">
        <f t="shared" si="5"/>
        <v>0</v>
      </c>
      <c r="M91" s="1091">
        <f>+H91/'Parametros Generales'!$C$8</f>
        <v>0</v>
      </c>
      <c r="N91" s="1098"/>
      <c r="O91" s="1098"/>
      <c r="P91" s="1098"/>
      <c r="Q91" s="1098"/>
      <c r="R91" s="1098">
        <f>+(M91/'Parametros Generales'!$C$9)</f>
        <v>0</v>
      </c>
      <c r="S91" s="395"/>
      <c r="T91" s="395"/>
      <c r="U91" s="395"/>
      <c r="V91" s="396"/>
      <c r="W91" s="376">
        <f>+R91*'Componentes T.H.'!$Q$9*'Parametros Generales'!$C$6</f>
        <v>0</v>
      </c>
      <c r="X91" s="376">
        <f>(+VLOOKUP(C91,'Transporte y Viaticos'!$B$87:$L$120,2,0)*'Parametros Generales'!$C$7*R91)*(2/3)</f>
        <v>0</v>
      </c>
      <c r="Y91" s="417"/>
      <c r="Z91" s="417"/>
      <c r="AA91" s="417"/>
      <c r="AB91" s="417">
        <f>+M91*'Parametros Generales'!$C$6*'Parametros Generales'!$J$9</f>
        <v>0</v>
      </c>
      <c r="AC91" s="417">
        <f>+H91*'Parametros Generales'!$J$10*'Parametros Generales'!$C$6*'Parametros Generales'!$C$11</f>
        <v>0</v>
      </c>
      <c r="AD91" s="417"/>
      <c r="AE91" s="417"/>
      <c r="AF91" s="417"/>
      <c r="AG91" s="417"/>
      <c r="AH91" s="417"/>
      <c r="AI91" s="417"/>
      <c r="AJ91" s="417"/>
      <c r="AK91" s="436"/>
      <c r="AL91" s="822"/>
    </row>
    <row r="92" spans="1:38" s="33" customFormat="1" hidden="1" outlineLevel="1">
      <c r="A92" s="1150"/>
      <c r="B92" s="823">
        <v>5</v>
      </c>
      <c r="C92" s="373" t="str">
        <f t="shared" si="6"/>
        <v>ANTIOQUIA</v>
      </c>
      <c r="D92" s="374"/>
      <c r="E92" s="1113"/>
      <c r="F92" s="1104"/>
      <c r="G92" s="375"/>
      <c r="H92" s="1062"/>
      <c r="I92" s="1057"/>
      <c r="J92" s="1058"/>
      <c r="K92" s="1070" t="str">
        <f t="shared" si="4"/>
        <v>Ok</v>
      </c>
      <c r="L92" s="1077">
        <f t="shared" si="5"/>
        <v>0</v>
      </c>
      <c r="M92" s="1091">
        <f>+H92/'Parametros Generales'!$C$8</f>
        <v>0</v>
      </c>
      <c r="N92" s="1098"/>
      <c r="O92" s="1098"/>
      <c r="P92" s="1098"/>
      <c r="Q92" s="1098"/>
      <c r="R92" s="1098">
        <f>+(M92/'Parametros Generales'!$C$9)</f>
        <v>0</v>
      </c>
      <c r="S92" s="395"/>
      <c r="T92" s="395"/>
      <c r="U92" s="395"/>
      <c r="V92" s="396"/>
      <c r="W92" s="376">
        <f>+R92*'Componentes T.H.'!$Q$9*'Parametros Generales'!$C$6</f>
        <v>0</v>
      </c>
      <c r="X92" s="376">
        <f>(+VLOOKUP(C92,'Transporte y Viaticos'!$B$87:$L$120,2,0)*'Parametros Generales'!$C$7*R92)*(2/3)</f>
        <v>0</v>
      </c>
      <c r="Y92" s="417"/>
      <c r="Z92" s="417"/>
      <c r="AA92" s="417"/>
      <c r="AB92" s="417">
        <f>+M92*'Parametros Generales'!$C$6*'Parametros Generales'!$J$9</f>
        <v>0</v>
      </c>
      <c r="AC92" s="417">
        <f>+H92*'Parametros Generales'!$J$10*'Parametros Generales'!$C$6*'Parametros Generales'!$C$11</f>
        <v>0</v>
      </c>
      <c r="AD92" s="417"/>
      <c r="AE92" s="417"/>
      <c r="AF92" s="417"/>
      <c r="AG92" s="417"/>
      <c r="AH92" s="417"/>
      <c r="AI92" s="417"/>
      <c r="AJ92" s="417"/>
      <c r="AK92" s="436"/>
      <c r="AL92" s="822"/>
    </row>
    <row r="93" spans="1:38" s="33" customFormat="1" hidden="1" outlineLevel="1">
      <c r="A93" s="1150"/>
      <c r="B93" s="823">
        <v>5</v>
      </c>
      <c r="C93" s="373" t="str">
        <f t="shared" si="6"/>
        <v>ANTIOQUIA</v>
      </c>
      <c r="D93" s="374"/>
      <c r="E93" s="1113"/>
      <c r="F93" s="1104"/>
      <c r="G93" s="375"/>
      <c r="H93" s="1062"/>
      <c r="I93" s="1057"/>
      <c r="J93" s="1058"/>
      <c r="K93" s="1070" t="str">
        <f t="shared" si="4"/>
        <v>Ok</v>
      </c>
      <c r="L93" s="1077">
        <f t="shared" si="5"/>
        <v>0</v>
      </c>
      <c r="M93" s="1091">
        <f>+H93/'Parametros Generales'!$C$8</f>
        <v>0</v>
      </c>
      <c r="N93" s="1098"/>
      <c r="O93" s="1098"/>
      <c r="P93" s="1098"/>
      <c r="Q93" s="1098"/>
      <c r="R93" s="1098">
        <f>+(M93/'Parametros Generales'!$C$9)</f>
        <v>0</v>
      </c>
      <c r="S93" s="395"/>
      <c r="T93" s="395"/>
      <c r="U93" s="395"/>
      <c r="V93" s="396"/>
      <c r="W93" s="376">
        <f>+R93*'Componentes T.H.'!$Q$9*'Parametros Generales'!$C$6</f>
        <v>0</v>
      </c>
      <c r="X93" s="376">
        <f>(+VLOOKUP(C93,'Transporte y Viaticos'!$B$87:$L$120,2,0)*'Parametros Generales'!$C$7*R93)*(2/3)</f>
        <v>0</v>
      </c>
      <c r="Y93" s="417"/>
      <c r="Z93" s="417"/>
      <c r="AA93" s="417"/>
      <c r="AB93" s="417">
        <f>+M93*'Parametros Generales'!$C$6*'Parametros Generales'!$J$9</f>
        <v>0</v>
      </c>
      <c r="AC93" s="417">
        <f>+H93*'Parametros Generales'!$J$10*'Parametros Generales'!$C$6*'Parametros Generales'!$C$11</f>
        <v>0</v>
      </c>
      <c r="AD93" s="417"/>
      <c r="AE93" s="417"/>
      <c r="AF93" s="417"/>
      <c r="AG93" s="417"/>
      <c r="AH93" s="417"/>
      <c r="AI93" s="417"/>
      <c r="AJ93" s="417"/>
      <c r="AK93" s="436"/>
      <c r="AL93" s="822"/>
    </row>
    <row r="94" spans="1:38" s="33" customFormat="1" hidden="1" outlineLevel="1">
      <c r="A94" s="1150"/>
      <c r="B94" s="823">
        <v>5</v>
      </c>
      <c r="C94" s="373" t="str">
        <f t="shared" si="6"/>
        <v>ANTIOQUIA</v>
      </c>
      <c r="D94" s="374"/>
      <c r="E94" s="1113"/>
      <c r="F94" s="1104"/>
      <c r="G94" s="375"/>
      <c r="H94" s="1062"/>
      <c r="I94" s="1057"/>
      <c r="J94" s="1058"/>
      <c r="K94" s="1070" t="str">
        <f t="shared" si="4"/>
        <v>Ok</v>
      </c>
      <c r="L94" s="1077">
        <f t="shared" si="5"/>
        <v>0</v>
      </c>
      <c r="M94" s="1091">
        <f>+H94/'Parametros Generales'!$C$8</f>
        <v>0</v>
      </c>
      <c r="N94" s="1098"/>
      <c r="O94" s="1098"/>
      <c r="P94" s="1098"/>
      <c r="Q94" s="1098"/>
      <c r="R94" s="1098">
        <f>+(M94/'Parametros Generales'!$C$9)</f>
        <v>0</v>
      </c>
      <c r="S94" s="395"/>
      <c r="T94" s="395"/>
      <c r="U94" s="395"/>
      <c r="V94" s="396"/>
      <c r="W94" s="376">
        <f>+R94*'Componentes T.H.'!$Q$9*'Parametros Generales'!$C$6</f>
        <v>0</v>
      </c>
      <c r="X94" s="376">
        <f>(+VLOOKUP(C94,'Transporte y Viaticos'!$B$87:$L$120,2,0)*'Parametros Generales'!$C$7*R94)*(2/3)</f>
        <v>0</v>
      </c>
      <c r="Y94" s="417"/>
      <c r="Z94" s="417"/>
      <c r="AA94" s="417"/>
      <c r="AB94" s="417">
        <f>+M94*'Parametros Generales'!$C$6*'Parametros Generales'!$J$9</f>
        <v>0</v>
      </c>
      <c r="AC94" s="417">
        <f>+H94*'Parametros Generales'!$J$10*'Parametros Generales'!$C$6*'Parametros Generales'!$C$11</f>
        <v>0</v>
      </c>
      <c r="AD94" s="417"/>
      <c r="AE94" s="417"/>
      <c r="AF94" s="417"/>
      <c r="AG94" s="417"/>
      <c r="AH94" s="417"/>
      <c r="AI94" s="417"/>
      <c r="AJ94" s="417"/>
      <c r="AK94" s="436"/>
      <c r="AL94" s="822"/>
    </row>
    <row r="95" spans="1:38" s="33" customFormat="1" hidden="1" outlineLevel="1">
      <c r="A95" s="1150"/>
      <c r="B95" s="823">
        <v>5</v>
      </c>
      <c r="C95" s="373" t="str">
        <f t="shared" si="6"/>
        <v>ANTIOQUIA</v>
      </c>
      <c r="D95" s="374"/>
      <c r="E95" s="1113"/>
      <c r="F95" s="1104"/>
      <c r="G95" s="375"/>
      <c r="H95" s="1062"/>
      <c r="I95" s="1057"/>
      <c r="J95" s="1058"/>
      <c r="K95" s="1070" t="str">
        <f t="shared" si="4"/>
        <v>Ok</v>
      </c>
      <c r="L95" s="1077">
        <f t="shared" si="5"/>
        <v>0</v>
      </c>
      <c r="M95" s="1091">
        <f>+H95/'Parametros Generales'!$C$8</f>
        <v>0</v>
      </c>
      <c r="N95" s="1098"/>
      <c r="O95" s="1098"/>
      <c r="P95" s="1098"/>
      <c r="Q95" s="1098"/>
      <c r="R95" s="1098">
        <f>+(M95/'Parametros Generales'!$C$9)</f>
        <v>0</v>
      </c>
      <c r="S95" s="395"/>
      <c r="T95" s="395"/>
      <c r="U95" s="395"/>
      <c r="V95" s="396"/>
      <c r="W95" s="376">
        <f>+R95*'Componentes T.H.'!$Q$9*'Parametros Generales'!$C$6</f>
        <v>0</v>
      </c>
      <c r="X95" s="376">
        <f>(+VLOOKUP(C95,'Transporte y Viaticos'!$B$87:$L$120,2,0)*'Parametros Generales'!$C$7*R95)*(2/3)</f>
        <v>0</v>
      </c>
      <c r="Y95" s="417"/>
      <c r="Z95" s="417"/>
      <c r="AA95" s="417"/>
      <c r="AB95" s="417">
        <f>+M95*'Parametros Generales'!$C$6*'Parametros Generales'!$J$9</f>
        <v>0</v>
      </c>
      <c r="AC95" s="417">
        <f>+H95*'Parametros Generales'!$J$10*'Parametros Generales'!$C$6*'Parametros Generales'!$C$11</f>
        <v>0</v>
      </c>
      <c r="AD95" s="417"/>
      <c r="AE95" s="417"/>
      <c r="AF95" s="417"/>
      <c r="AG95" s="417"/>
      <c r="AH95" s="417"/>
      <c r="AI95" s="417"/>
      <c r="AJ95" s="417"/>
      <c r="AK95" s="436"/>
      <c r="AL95" s="822"/>
    </row>
    <row r="96" spans="1:38" s="33" customFormat="1" hidden="1" outlineLevel="1">
      <c r="A96" s="1150"/>
      <c r="B96" s="823">
        <v>5</v>
      </c>
      <c r="C96" s="373" t="str">
        <f t="shared" si="6"/>
        <v>ANTIOQUIA</v>
      </c>
      <c r="D96" s="374"/>
      <c r="E96" s="1113"/>
      <c r="F96" s="1104"/>
      <c r="G96" s="375"/>
      <c r="H96" s="1062"/>
      <c r="I96" s="1057"/>
      <c r="J96" s="1058"/>
      <c r="K96" s="1070" t="str">
        <f t="shared" si="4"/>
        <v>Ok</v>
      </c>
      <c r="L96" s="1077">
        <f t="shared" si="5"/>
        <v>0</v>
      </c>
      <c r="M96" s="1091">
        <f>+H96/'Parametros Generales'!$C$8</f>
        <v>0</v>
      </c>
      <c r="N96" s="1098"/>
      <c r="O96" s="1098"/>
      <c r="P96" s="1098"/>
      <c r="Q96" s="1098"/>
      <c r="R96" s="1098">
        <f>+(M96/'Parametros Generales'!$C$9)</f>
        <v>0</v>
      </c>
      <c r="S96" s="395"/>
      <c r="T96" s="395"/>
      <c r="U96" s="395"/>
      <c r="V96" s="396"/>
      <c r="W96" s="376">
        <f>+R96*'Componentes T.H.'!$Q$9*'Parametros Generales'!$C$6</f>
        <v>0</v>
      </c>
      <c r="X96" s="376">
        <f>(+VLOOKUP(C96,'Transporte y Viaticos'!$B$87:$L$120,2,0)*'Parametros Generales'!$C$7*R96)*(2/3)</f>
        <v>0</v>
      </c>
      <c r="Y96" s="417"/>
      <c r="Z96" s="417"/>
      <c r="AA96" s="417"/>
      <c r="AB96" s="417">
        <f>+M96*'Parametros Generales'!$C$6*'Parametros Generales'!$J$9</f>
        <v>0</v>
      </c>
      <c r="AC96" s="417">
        <f>+H96*'Parametros Generales'!$J$10*'Parametros Generales'!$C$6*'Parametros Generales'!$C$11</f>
        <v>0</v>
      </c>
      <c r="AD96" s="417"/>
      <c r="AE96" s="417"/>
      <c r="AF96" s="417"/>
      <c r="AG96" s="417"/>
      <c r="AH96" s="417"/>
      <c r="AI96" s="417"/>
      <c r="AJ96" s="417"/>
      <c r="AK96" s="436"/>
      <c r="AL96" s="822"/>
    </row>
    <row r="97" spans="1:38" s="33" customFormat="1" hidden="1" outlineLevel="1">
      <c r="A97" s="1150"/>
      <c r="B97" s="823">
        <v>5</v>
      </c>
      <c r="C97" s="373" t="str">
        <f t="shared" si="6"/>
        <v>ANTIOQUIA</v>
      </c>
      <c r="D97" s="374"/>
      <c r="E97" s="1113"/>
      <c r="F97" s="1104"/>
      <c r="G97" s="375"/>
      <c r="H97" s="1062"/>
      <c r="I97" s="1057"/>
      <c r="J97" s="1058"/>
      <c r="K97" s="1070" t="str">
        <f t="shared" si="4"/>
        <v>Ok</v>
      </c>
      <c r="L97" s="1077">
        <f t="shared" si="5"/>
        <v>0</v>
      </c>
      <c r="M97" s="1091">
        <f>+H97/'Parametros Generales'!$C$8</f>
        <v>0</v>
      </c>
      <c r="N97" s="1098"/>
      <c r="O97" s="1098"/>
      <c r="P97" s="1098"/>
      <c r="Q97" s="1098"/>
      <c r="R97" s="1098">
        <f>+(M97/'Parametros Generales'!$C$9)</f>
        <v>0</v>
      </c>
      <c r="S97" s="395"/>
      <c r="T97" s="395"/>
      <c r="U97" s="395"/>
      <c r="V97" s="396"/>
      <c r="W97" s="376">
        <f>+R97*'Componentes T.H.'!$Q$9*'Parametros Generales'!$C$6</f>
        <v>0</v>
      </c>
      <c r="X97" s="376">
        <f>(+VLOOKUP(C97,'Transporte y Viaticos'!$B$87:$L$120,2,0)*'Parametros Generales'!$C$7*R97)*(2/3)</f>
        <v>0</v>
      </c>
      <c r="Y97" s="417"/>
      <c r="Z97" s="417"/>
      <c r="AA97" s="417"/>
      <c r="AB97" s="417">
        <f>+M97*'Parametros Generales'!$C$6*'Parametros Generales'!$J$9</f>
        <v>0</v>
      </c>
      <c r="AC97" s="417">
        <f>+H97*'Parametros Generales'!$J$10*'Parametros Generales'!$C$6*'Parametros Generales'!$C$11</f>
        <v>0</v>
      </c>
      <c r="AD97" s="417"/>
      <c r="AE97" s="417"/>
      <c r="AF97" s="417"/>
      <c r="AG97" s="417"/>
      <c r="AH97" s="417"/>
      <c r="AI97" s="417"/>
      <c r="AJ97" s="417"/>
      <c r="AK97" s="436"/>
      <c r="AL97" s="822"/>
    </row>
    <row r="98" spans="1:38" s="33" customFormat="1" hidden="1" outlineLevel="1">
      <c r="A98" s="1150"/>
      <c r="B98" s="823">
        <v>5</v>
      </c>
      <c r="C98" s="373" t="str">
        <f t="shared" si="6"/>
        <v>ANTIOQUIA</v>
      </c>
      <c r="D98" s="374"/>
      <c r="E98" s="1113"/>
      <c r="F98" s="1104"/>
      <c r="G98" s="375"/>
      <c r="H98" s="1062"/>
      <c r="I98" s="1057"/>
      <c r="J98" s="1058"/>
      <c r="K98" s="1070" t="str">
        <f t="shared" si="4"/>
        <v>Ok</v>
      </c>
      <c r="L98" s="1077">
        <f t="shared" si="5"/>
        <v>0</v>
      </c>
      <c r="M98" s="1091">
        <f>+H98/'Parametros Generales'!$C$8</f>
        <v>0</v>
      </c>
      <c r="N98" s="1098"/>
      <c r="O98" s="1098"/>
      <c r="P98" s="1098"/>
      <c r="Q98" s="1098"/>
      <c r="R98" s="1098">
        <f>+(M98/'Parametros Generales'!$C$9)</f>
        <v>0</v>
      </c>
      <c r="S98" s="395"/>
      <c r="T98" s="395"/>
      <c r="U98" s="395"/>
      <c r="V98" s="396"/>
      <c r="W98" s="376">
        <f>+R98*'Componentes T.H.'!$Q$9*'Parametros Generales'!$C$6</f>
        <v>0</v>
      </c>
      <c r="X98" s="376">
        <f>(+VLOOKUP(C98,'Transporte y Viaticos'!$B$87:$L$120,2,0)*'Parametros Generales'!$C$7*R98)*(2/3)</f>
        <v>0</v>
      </c>
      <c r="Y98" s="417"/>
      <c r="Z98" s="417"/>
      <c r="AA98" s="417"/>
      <c r="AB98" s="417">
        <f>+M98*'Parametros Generales'!$C$6*'Parametros Generales'!$J$9</f>
        <v>0</v>
      </c>
      <c r="AC98" s="417">
        <f>+H98*'Parametros Generales'!$J$10*'Parametros Generales'!$C$6*'Parametros Generales'!$C$11</f>
        <v>0</v>
      </c>
      <c r="AD98" s="417"/>
      <c r="AE98" s="417"/>
      <c r="AF98" s="417"/>
      <c r="AG98" s="417"/>
      <c r="AH98" s="417"/>
      <c r="AI98" s="417"/>
      <c r="AJ98" s="417"/>
      <c r="AK98" s="436"/>
      <c r="AL98" s="822"/>
    </row>
    <row r="99" spans="1:38" s="33" customFormat="1" hidden="1" outlineLevel="1">
      <c r="A99" s="1150"/>
      <c r="B99" s="823">
        <v>5</v>
      </c>
      <c r="C99" s="373" t="str">
        <f t="shared" si="6"/>
        <v>ANTIOQUIA</v>
      </c>
      <c r="D99" s="374"/>
      <c r="E99" s="1113"/>
      <c r="F99" s="1104"/>
      <c r="G99" s="375"/>
      <c r="H99" s="1062"/>
      <c r="I99" s="1057"/>
      <c r="J99" s="1058"/>
      <c r="K99" s="1070" t="str">
        <f t="shared" si="4"/>
        <v>Ok</v>
      </c>
      <c r="L99" s="1077">
        <f t="shared" si="5"/>
        <v>0</v>
      </c>
      <c r="M99" s="1091">
        <f>+H99/'Parametros Generales'!$C$8</f>
        <v>0</v>
      </c>
      <c r="N99" s="1098"/>
      <c r="O99" s="1098"/>
      <c r="P99" s="1098"/>
      <c r="Q99" s="1098"/>
      <c r="R99" s="1098">
        <f>+(M99/'Parametros Generales'!$C$9)</f>
        <v>0</v>
      </c>
      <c r="S99" s="395"/>
      <c r="T99" s="395"/>
      <c r="U99" s="395"/>
      <c r="V99" s="396"/>
      <c r="W99" s="376">
        <f>+R99*'Componentes T.H.'!$Q$9*'Parametros Generales'!$C$6</f>
        <v>0</v>
      </c>
      <c r="X99" s="376">
        <f>(+VLOOKUP(C99,'Transporte y Viaticos'!$B$87:$L$120,2,0)*'Parametros Generales'!$C$7*R99)*(2/3)</f>
        <v>0</v>
      </c>
      <c r="Y99" s="417"/>
      <c r="Z99" s="417"/>
      <c r="AA99" s="417"/>
      <c r="AB99" s="417">
        <f>+M99*'Parametros Generales'!$C$6*'Parametros Generales'!$J$9</f>
        <v>0</v>
      </c>
      <c r="AC99" s="417">
        <f>+H99*'Parametros Generales'!$J$10*'Parametros Generales'!$C$6*'Parametros Generales'!$C$11</f>
        <v>0</v>
      </c>
      <c r="AD99" s="417"/>
      <c r="AE99" s="417"/>
      <c r="AF99" s="417"/>
      <c r="AG99" s="417"/>
      <c r="AH99" s="417"/>
      <c r="AI99" s="417"/>
      <c r="AJ99" s="417"/>
      <c r="AK99" s="436"/>
      <c r="AL99" s="822"/>
    </row>
    <row r="100" spans="1:38" s="33" customFormat="1" hidden="1" outlineLevel="1">
      <c r="A100" s="1150"/>
      <c r="B100" s="823">
        <v>5</v>
      </c>
      <c r="C100" s="373" t="str">
        <f t="shared" si="6"/>
        <v>ANTIOQUIA</v>
      </c>
      <c r="D100" s="374"/>
      <c r="E100" s="1113"/>
      <c r="F100" s="1104"/>
      <c r="G100" s="375"/>
      <c r="H100" s="1062"/>
      <c r="I100" s="1057"/>
      <c r="J100" s="1058"/>
      <c r="K100" s="1070" t="str">
        <f t="shared" si="4"/>
        <v>Ok</v>
      </c>
      <c r="L100" s="1077">
        <f t="shared" si="5"/>
        <v>0</v>
      </c>
      <c r="M100" s="1091">
        <f>+H100/'Parametros Generales'!$C$8</f>
        <v>0</v>
      </c>
      <c r="N100" s="1098"/>
      <c r="O100" s="1098"/>
      <c r="P100" s="1098"/>
      <c r="Q100" s="1098"/>
      <c r="R100" s="1098">
        <f>+(M100/'Parametros Generales'!$C$9)</f>
        <v>0</v>
      </c>
      <c r="S100" s="395"/>
      <c r="T100" s="395"/>
      <c r="U100" s="395"/>
      <c r="V100" s="396"/>
      <c r="W100" s="376">
        <f>+R100*'Componentes T.H.'!$Q$9*'Parametros Generales'!$C$6</f>
        <v>0</v>
      </c>
      <c r="X100" s="376">
        <f>(+VLOOKUP(C100,'Transporte y Viaticos'!$B$87:$L$120,2,0)*'Parametros Generales'!$C$7*R100)*(2/3)</f>
        <v>0</v>
      </c>
      <c r="Y100" s="417"/>
      <c r="Z100" s="417"/>
      <c r="AA100" s="417"/>
      <c r="AB100" s="417">
        <f>+M100*'Parametros Generales'!$C$6*'Parametros Generales'!$J$9</f>
        <v>0</v>
      </c>
      <c r="AC100" s="417">
        <f>+H100*'Parametros Generales'!$J$10*'Parametros Generales'!$C$6*'Parametros Generales'!$C$11</f>
        <v>0</v>
      </c>
      <c r="AD100" s="417"/>
      <c r="AE100" s="417"/>
      <c r="AF100" s="417"/>
      <c r="AG100" s="417"/>
      <c r="AH100" s="417"/>
      <c r="AI100" s="417"/>
      <c r="AJ100" s="417"/>
      <c r="AK100" s="436"/>
      <c r="AL100" s="822"/>
    </row>
    <row r="101" spans="1:38" s="33" customFormat="1" hidden="1" outlineLevel="1">
      <c r="A101" s="1150"/>
      <c r="B101" s="823">
        <v>5</v>
      </c>
      <c r="C101" s="373" t="str">
        <f t="shared" si="6"/>
        <v>ANTIOQUIA</v>
      </c>
      <c r="D101" s="374"/>
      <c r="E101" s="1113"/>
      <c r="F101" s="1104"/>
      <c r="G101" s="375"/>
      <c r="H101" s="1062"/>
      <c r="I101" s="1057"/>
      <c r="J101" s="1058"/>
      <c r="K101" s="1070" t="str">
        <f t="shared" si="4"/>
        <v>Ok</v>
      </c>
      <c r="L101" s="1077">
        <f t="shared" si="5"/>
        <v>0</v>
      </c>
      <c r="M101" s="1091">
        <f>+H101/'Parametros Generales'!$C$8</f>
        <v>0</v>
      </c>
      <c r="N101" s="1098"/>
      <c r="O101" s="1098"/>
      <c r="P101" s="1098"/>
      <c r="Q101" s="1098"/>
      <c r="R101" s="1098">
        <f>+(M101/'Parametros Generales'!$C$9)</f>
        <v>0</v>
      </c>
      <c r="S101" s="395"/>
      <c r="T101" s="395"/>
      <c r="U101" s="395"/>
      <c r="V101" s="396"/>
      <c r="W101" s="376">
        <f>+R101*'Componentes T.H.'!$Q$9*'Parametros Generales'!$C$6</f>
        <v>0</v>
      </c>
      <c r="X101" s="376">
        <f>(+VLOOKUP(C101,'Transporte y Viaticos'!$B$87:$L$120,2,0)*'Parametros Generales'!$C$7*R101)*(2/3)</f>
        <v>0</v>
      </c>
      <c r="Y101" s="417"/>
      <c r="Z101" s="417"/>
      <c r="AA101" s="417"/>
      <c r="AB101" s="417">
        <f>+M101*'Parametros Generales'!$C$6*'Parametros Generales'!$J$9</f>
        <v>0</v>
      </c>
      <c r="AC101" s="417">
        <f>+H101*'Parametros Generales'!$J$10*'Parametros Generales'!$C$6*'Parametros Generales'!$C$11</f>
        <v>0</v>
      </c>
      <c r="AD101" s="417"/>
      <c r="AE101" s="417"/>
      <c r="AF101" s="417"/>
      <c r="AG101" s="417"/>
      <c r="AH101" s="417"/>
      <c r="AI101" s="417"/>
      <c r="AJ101" s="417"/>
      <c r="AK101" s="436"/>
      <c r="AL101" s="822"/>
    </row>
    <row r="102" spans="1:38" s="33" customFormat="1" hidden="1" outlineLevel="1">
      <c r="A102" s="1150"/>
      <c r="B102" s="823">
        <v>5</v>
      </c>
      <c r="C102" s="373" t="str">
        <f t="shared" si="6"/>
        <v>ANTIOQUIA</v>
      </c>
      <c r="D102" s="374"/>
      <c r="E102" s="1113"/>
      <c r="F102" s="1104"/>
      <c r="G102" s="375"/>
      <c r="H102" s="1062"/>
      <c r="I102" s="1057"/>
      <c r="J102" s="1058"/>
      <c r="K102" s="1070" t="str">
        <f t="shared" si="4"/>
        <v>Ok</v>
      </c>
      <c r="L102" s="1077">
        <f t="shared" si="5"/>
        <v>0</v>
      </c>
      <c r="M102" s="1091">
        <f>+H102/'Parametros Generales'!$C$8</f>
        <v>0</v>
      </c>
      <c r="N102" s="1098"/>
      <c r="O102" s="1098"/>
      <c r="P102" s="1098"/>
      <c r="Q102" s="1098"/>
      <c r="R102" s="1098">
        <f>+(M102/'Parametros Generales'!$C$9)</f>
        <v>0</v>
      </c>
      <c r="S102" s="395"/>
      <c r="T102" s="395"/>
      <c r="U102" s="395"/>
      <c r="V102" s="396"/>
      <c r="W102" s="376">
        <f>+R102*'Componentes T.H.'!$Q$9*'Parametros Generales'!$C$6</f>
        <v>0</v>
      </c>
      <c r="X102" s="376">
        <f>(+VLOOKUP(C102,'Transporte y Viaticos'!$B$87:$L$120,2,0)*'Parametros Generales'!$C$7*R102)*(2/3)</f>
        <v>0</v>
      </c>
      <c r="Y102" s="417"/>
      <c r="Z102" s="417"/>
      <c r="AA102" s="417"/>
      <c r="AB102" s="417">
        <f>+M102*'Parametros Generales'!$C$6*'Parametros Generales'!$J$9</f>
        <v>0</v>
      </c>
      <c r="AC102" s="417">
        <f>+H102*'Parametros Generales'!$J$10*'Parametros Generales'!$C$6*'Parametros Generales'!$C$11</f>
        <v>0</v>
      </c>
      <c r="AD102" s="417"/>
      <c r="AE102" s="417"/>
      <c r="AF102" s="417"/>
      <c r="AG102" s="417"/>
      <c r="AH102" s="417"/>
      <c r="AI102" s="417"/>
      <c r="AJ102" s="417"/>
      <c r="AK102" s="436"/>
      <c r="AL102" s="822"/>
    </row>
    <row r="103" spans="1:38" s="392" customFormat="1" collapsed="1">
      <c r="A103" s="1151">
        <v>2</v>
      </c>
      <c r="B103" s="824">
        <v>5</v>
      </c>
      <c r="C103" s="385" t="s">
        <v>112</v>
      </c>
      <c r="D103" s="386"/>
      <c r="E103" s="1114" t="s">
        <v>112</v>
      </c>
      <c r="F103" s="1105">
        <f>+SUM(F104:F143)</f>
        <v>19</v>
      </c>
      <c r="G103" s="388">
        <f>+SUM(G104:G122)</f>
        <v>3762</v>
      </c>
      <c r="H103" s="512">
        <f>+SUM(H104:H143)</f>
        <v>3600</v>
      </c>
      <c r="I103" s="1057" t="s">
        <v>112</v>
      </c>
      <c r="J103" s="1067">
        <v>3600</v>
      </c>
      <c r="K103" s="1069" t="str">
        <f t="shared" si="4"/>
        <v>Ok</v>
      </c>
      <c r="L103" s="1077">
        <f t="shared" si="5"/>
        <v>0</v>
      </c>
      <c r="M103" s="512">
        <f>+SUM(M104:M143)</f>
        <v>144</v>
      </c>
      <c r="N103" s="1073">
        <f>+VLOOKUP(H103,'Parametros Generales'!$B$14:$D$17,3,TRUE)</f>
        <v>0.6</v>
      </c>
      <c r="O103" s="1073">
        <f>+VLOOKUP(H103,'Parametros Generales'!$B$14:$D$17,3,TRUE)</f>
        <v>0.6</v>
      </c>
      <c r="P103" s="1073">
        <f>+VLOOKUP(H103,'Parametros Generales'!$B$14:$D$17,3,TRUE)</f>
        <v>0.6</v>
      </c>
      <c r="Q103" s="1073">
        <f>+R103/'Parametros Generales'!$C$10</f>
        <v>4.5</v>
      </c>
      <c r="R103" s="512">
        <f>+SUM(R104:R143)</f>
        <v>36</v>
      </c>
      <c r="S103" s="390">
        <f>+VLOOKUP(S$1,'Componentes T.H.'!$B$4:$R$22,'Componentes T.H.'!$Q$1,0)*'Parametros Generales'!$C$6*'Cost x Depart'!N103</f>
        <v>8794058.4826000016</v>
      </c>
      <c r="T103" s="390">
        <f>+VLOOKUP(T$1,'Componentes T.H.'!$B$4:$R$22,'Componentes T.H.'!$Q$1,0)*'Parametros Generales'!$C$6*'Cost x Depart'!O103</f>
        <v>6626289.3953999998</v>
      </c>
      <c r="U103" s="390">
        <f>+VLOOKUP(U$1,'Componentes T.H.'!$B$4:$R$22,'Componentes T.H.'!$Q$1,0)*'Parametros Generales'!$C$6*'Cost x Depart'!P103</f>
        <v>2934259.1999999997</v>
      </c>
      <c r="V103" s="389">
        <f>+VLOOKUP(V$1,'Componentes T.H.'!$B$4:$R$22,'Componentes T.H.'!$Q$1,0)*'Parametros Generales'!$C$6*'Cost x Depart'!Q103</f>
        <v>44959713.9045</v>
      </c>
      <c r="W103" s="512">
        <f t="shared" ref="W103:X103" si="7">+SUM(W104:W143)</f>
        <v>180666254.55600002</v>
      </c>
      <c r="X103" s="512">
        <f t="shared" si="7"/>
        <v>40505873.096633375</v>
      </c>
      <c r="Y103" s="391">
        <f>+VLOOKUP(C104,'Transporte y Viaticos'!$B$87:$F$120,2,0)*((O103/'Parametros Generales'!$J$14)+(Q103/'Parametros Generales'!$J$15)+(R103/'Parametros Generales'!$J$16))*'Parametros Generales'!$C$6</f>
        <v>1949345.1427754804</v>
      </c>
      <c r="Z103" s="391">
        <f>+(N103+O103+Q103)*'Parametros Generales'!$C$6*'Parametros Generales'!$J$7</f>
        <v>1120734</v>
      </c>
      <c r="AA103" s="391">
        <f>+SUM(N103:R103)*'Parametros Generales'!$C$6*'Parametros Generales'!$J$8</f>
        <v>7592850</v>
      </c>
      <c r="AB103" s="512">
        <f t="shared" ref="AB103:AC103" si="8">+SUM(AB104:AB143)</f>
        <v>70114909.090909094</v>
      </c>
      <c r="AC103" s="512">
        <f t="shared" si="8"/>
        <v>265292977.81322929</v>
      </c>
      <c r="AD103" s="391">
        <f>+'Parametros Generales'!$J$11*SUM(N103:R103)</f>
        <v>1422972</v>
      </c>
      <c r="AE103" s="436">
        <f>+SUM(S103:AD103)</f>
        <v>631980236.68204725</v>
      </c>
      <c r="AF103" s="391">
        <f>+AE103*(SUM('Res de Costos Pais'!G117:G117))</f>
        <v>43290646.212720238</v>
      </c>
      <c r="AG103" s="391">
        <f>+AE103+AF103</f>
        <v>675270882.89476752</v>
      </c>
      <c r="AH103" s="391">
        <f>+AG103*SUM('Res de Costos Pais'!$G$123:$G$124)</f>
        <v>6523116.7287634546</v>
      </c>
      <c r="AI103" s="391">
        <f>+(AG103+AH103)*'Res de Costos Pais'!$G$136</f>
        <v>1840843.7989835339</v>
      </c>
      <c r="AJ103" s="391">
        <f>+(AG103+AH103+AI103)*'Res de Costos Pais'!$G$140</f>
        <v>2734539.3736900585</v>
      </c>
      <c r="AK103" s="391">
        <f>+AG103+AH103+AI103+AJ103</f>
        <v>686369382.79620457</v>
      </c>
      <c r="AL103" s="820">
        <f>IF(ISERROR((+(AK103/H103)/'Parametros Generales'!$C$6)),0,(+(AK103/H103)/'Parametros Generales'!$C$6))</f>
        <v>38131.632377566923</v>
      </c>
    </row>
    <row r="104" spans="1:38" s="33" customFormat="1" hidden="1" outlineLevel="1">
      <c r="A104" s="1150"/>
      <c r="B104" s="819">
        <v>5</v>
      </c>
      <c r="C104" s="377" t="s">
        <v>47</v>
      </c>
      <c r="D104" s="378">
        <f>+VLOOKUP(E104,Codigos!$A$1:$B$1123,2,0)</f>
        <v>5002</v>
      </c>
      <c r="E104" s="1110" t="s">
        <v>1667</v>
      </c>
      <c r="F104" s="1102">
        <v>1</v>
      </c>
      <c r="G104" s="379">
        <v>198</v>
      </c>
      <c r="H104" s="1060">
        <f>CEILING((G104-100),'Parametros Generales'!$C$8)</f>
        <v>100</v>
      </c>
      <c r="I104" s="1057" t="s">
        <v>113</v>
      </c>
      <c r="J104" s="1058">
        <v>100</v>
      </c>
      <c r="K104" s="1070" t="str">
        <f t="shared" si="4"/>
        <v>Ok</v>
      </c>
      <c r="L104" s="1077">
        <f t="shared" si="5"/>
        <v>0</v>
      </c>
      <c r="M104" s="1089">
        <f>+H104/'Parametros Generales'!$C$8</f>
        <v>4</v>
      </c>
      <c r="N104" s="1096"/>
      <c r="O104" s="1096"/>
      <c r="P104" s="1096"/>
      <c r="Q104" s="1096"/>
      <c r="R104" s="1096">
        <f>+(M104/'Parametros Generales'!$C$9)</f>
        <v>1</v>
      </c>
      <c r="S104" s="393"/>
      <c r="T104" s="393"/>
      <c r="U104" s="393"/>
      <c r="V104" s="394"/>
      <c r="W104" s="380">
        <f>+R104*'Componentes T.H.'!$Q$9*'Parametros Generales'!C6</f>
        <v>5018507.0710000005</v>
      </c>
      <c r="X104" s="380">
        <f>(+VLOOKUP(C104,'Transporte y Viaticos'!$B$87:$L$120,2,0)*'Parametros Generales'!$C$7*R104)*(2/3)</f>
        <v>1125163.1415731488</v>
      </c>
      <c r="Y104" s="417"/>
      <c r="Z104" s="417"/>
      <c r="AA104" s="417"/>
      <c r="AB104" s="417">
        <f>+M104*'Parametros Generales'!$C$6*'Parametros Generales'!$J$9</f>
        <v>1947636.3636363642</v>
      </c>
      <c r="AC104" s="417">
        <f>+H104*'Parametros Generales'!$J$10*'Parametros Generales'!$C$6*'Parametros Generales'!$C$11</f>
        <v>7369249.3837008122</v>
      </c>
      <c r="AD104" s="417"/>
      <c r="AE104" s="417"/>
      <c r="AF104" s="417"/>
      <c r="AG104" s="417"/>
      <c r="AH104" s="417"/>
      <c r="AI104" s="417"/>
      <c r="AJ104" s="417"/>
      <c r="AK104" s="436"/>
      <c r="AL104" s="822"/>
    </row>
    <row r="105" spans="1:38" s="33" customFormat="1" hidden="1" outlineLevel="1">
      <c r="A105" s="1150"/>
      <c r="B105" s="821">
        <v>5</v>
      </c>
      <c r="C105" s="371" t="s">
        <v>47</v>
      </c>
      <c r="D105" s="31">
        <f>+VLOOKUP(E105,Codigos!$A$1:$B$1123,2,0)</f>
        <v>5021</v>
      </c>
      <c r="E105" s="1111" t="s">
        <v>1668</v>
      </c>
      <c r="F105" s="1103">
        <v>1</v>
      </c>
      <c r="G105" s="30">
        <v>198</v>
      </c>
      <c r="H105" s="1061">
        <f>CEILING(G105,'Parametros Generales'!$C$8)</f>
        <v>200</v>
      </c>
      <c r="I105" s="1057" t="s">
        <v>2385</v>
      </c>
      <c r="J105" s="1058">
        <v>200</v>
      </c>
      <c r="K105" s="1070" t="str">
        <f t="shared" si="4"/>
        <v>Ok</v>
      </c>
      <c r="L105" s="1077">
        <f t="shared" si="5"/>
        <v>0</v>
      </c>
      <c r="M105" s="1090">
        <f>+H105/'Parametros Generales'!$C$8</f>
        <v>8</v>
      </c>
      <c r="N105" s="1097"/>
      <c r="O105" s="1097"/>
      <c r="P105" s="1097"/>
      <c r="Q105" s="1097"/>
      <c r="R105" s="1097">
        <f>+(M105/'Parametros Generales'!$C$9)</f>
        <v>2</v>
      </c>
      <c r="S105" s="390"/>
      <c r="T105" s="390"/>
      <c r="U105" s="390"/>
      <c r="V105" s="389"/>
      <c r="W105" s="32">
        <f>+R105*'Componentes T.H.'!$Q$9*'Parametros Generales'!C6</f>
        <v>10037014.142000001</v>
      </c>
      <c r="X105" s="32">
        <f>(+VLOOKUP(C105,'Transporte y Viaticos'!$B$87:$L$120,2,0)*'Parametros Generales'!$C$7*R105)*(2/3)</f>
        <v>2250326.2831462976</v>
      </c>
      <c r="Y105" s="417"/>
      <c r="Z105" s="417"/>
      <c r="AA105" s="417"/>
      <c r="AB105" s="417">
        <f>+M105*'Parametros Generales'!$C$6*'Parametros Generales'!$J$9</f>
        <v>3895272.7272727285</v>
      </c>
      <c r="AC105" s="417">
        <f>+H105*'Parametros Generales'!$J$10*'Parametros Generales'!$C$6*'Parametros Generales'!$C$11</f>
        <v>14738498.767401624</v>
      </c>
      <c r="AD105" s="417"/>
      <c r="AE105" s="417"/>
      <c r="AF105" s="417"/>
      <c r="AG105" s="417"/>
      <c r="AH105" s="417"/>
      <c r="AI105" s="417"/>
      <c r="AJ105" s="417"/>
      <c r="AK105" s="436"/>
      <c r="AL105" s="822"/>
    </row>
    <row r="106" spans="1:38" s="33" customFormat="1" hidden="1" outlineLevel="1">
      <c r="A106" s="1150"/>
      <c r="B106" s="821">
        <v>5</v>
      </c>
      <c r="C106" s="371" t="s">
        <v>47</v>
      </c>
      <c r="D106" s="31">
        <f>+VLOOKUP(E106,Codigos!$A$1:$B$1123,2,0)</f>
        <v>5055</v>
      </c>
      <c r="E106" s="1111" t="s">
        <v>1669</v>
      </c>
      <c r="F106" s="1103">
        <v>1</v>
      </c>
      <c r="G106" s="30">
        <v>198</v>
      </c>
      <c r="H106" s="1061">
        <f>CEILING(G106,'Parametros Generales'!$C$8)</f>
        <v>200</v>
      </c>
      <c r="I106" s="1057" t="s">
        <v>114</v>
      </c>
      <c r="J106" s="1058">
        <v>200</v>
      </c>
      <c r="K106" s="1070" t="str">
        <f t="shared" si="4"/>
        <v>Ok</v>
      </c>
      <c r="L106" s="1077">
        <f t="shared" si="5"/>
        <v>0</v>
      </c>
      <c r="M106" s="1090">
        <f>+H106/'Parametros Generales'!$C$8</f>
        <v>8</v>
      </c>
      <c r="N106" s="1097"/>
      <c r="O106" s="1097"/>
      <c r="P106" s="1097"/>
      <c r="Q106" s="1097"/>
      <c r="R106" s="1097">
        <f>+(M106/'Parametros Generales'!$C$9)</f>
        <v>2</v>
      </c>
      <c r="S106" s="390"/>
      <c r="T106" s="390"/>
      <c r="U106" s="390"/>
      <c r="V106" s="389"/>
      <c r="W106" s="32">
        <f>+R106*'Componentes T.H.'!$Q$9*'Parametros Generales'!C6</f>
        <v>10037014.142000001</v>
      </c>
      <c r="X106" s="32">
        <f>(+VLOOKUP(C106,'Transporte y Viaticos'!$B$87:$L$120,2,0)*'Parametros Generales'!$C$7*R106)*(2/3)</f>
        <v>2250326.2831462976</v>
      </c>
      <c r="Y106" s="417"/>
      <c r="Z106" s="417"/>
      <c r="AA106" s="417"/>
      <c r="AB106" s="417">
        <f>+M106*'Parametros Generales'!$C$6*'Parametros Generales'!$J$9</f>
        <v>3895272.7272727285</v>
      </c>
      <c r="AC106" s="417">
        <f>+H106*'Parametros Generales'!$J$10*'Parametros Generales'!$C$6*'Parametros Generales'!$C$11</f>
        <v>14738498.767401624</v>
      </c>
      <c r="AD106" s="417"/>
      <c r="AE106" s="417"/>
      <c r="AF106" s="417"/>
      <c r="AG106" s="417"/>
      <c r="AH106" s="417"/>
      <c r="AI106" s="417"/>
      <c r="AJ106" s="417"/>
      <c r="AK106" s="436"/>
      <c r="AL106" s="822"/>
    </row>
    <row r="107" spans="1:38" s="33" customFormat="1" hidden="1" outlineLevel="1">
      <c r="A107" s="1150"/>
      <c r="B107" s="821">
        <v>5</v>
      </c>
      <c r="C107" s="371" t="s">
        <v>47</v>
      </c>
      <c r="D107" s="31">
        <f>+VLOOKUP(E107,Codigos!$A$1:$B$1123,2,0)</f>
        <v>5197</v>
      </c>
      <c r="E107" s="1111" t="s">
        <v>1670</v>
      </c>
      <c r="F107" s="1103">
        <v>1</v>
      </c>
      <c r="G107" s="30">
        <v>198</v>
      </c>
      <c r="H107" s="1061">
        <f>CEILING(G107,'Parametros Generales'!$C$8)</f>
        <v>200</v>
      </c>
      <c r="I107" s="1057" t="s">
        <v>115</v>
      </c>
      <c r="J107" s="1058">
        <v>200</v>
      </c>
      <c r="K107" s="1070" t="str">
        <f t="shared" si="4"/>
        <v>Ok</v>
      </c>
      <c r="L107" s="1077">
        <f t="shared" si="5"/>
        <v>0</v>
      </c>
      <c r="M107" s="1090">
        <f>+H107/'Parametros Generales'!$C$8</f>
        <v>8</v>
      </c>
      <c r="N107" s="1097"/>
      <c r="O107" s="1097"/>
      <c r="P107" s="1097"/>
      <c r="Q107" s="1097"/>
      <c r="R107" s="1097">
        <f>+(M107/'Parametros Generales'!$C$9)</f>
        <v>2</v>
      </c>
      <c r="S107" s="390"/>
      <c r="T107" s="390"/>
      <c r="U107" s="390"/>
      <c r="V107" s="389"/>
      <c r="W107" s="32">
        <f>+R107*'Componentes T.H.'!$Q$9*'Parametros Generales'!C6</f>
        <v>10037014.142000001</v>
      </c>
      <c r="X107" s="32">
        <f>(+VLOOKUP(C107,'Transporte y Viaticos'!$B$87:$L$120,2,0)*'Parametros Generales'!$C$7*R107)*(2/3)</f>
        <v>2250326.2831462976</v>
      </c>
      <c r="Y107" s="417"/>
      <c r="Z107" s="417"/>
      <c r="AA107" s="417"/>
      <c r="AB107" s="417">
        <f>+M107*'Parametros Generales'!$C$6*'Parametros Generales'!$J$9</f>
        <v>3895272.7272727285</v>
      </c>
      <c r="AC107" s="417">
        <f>+H107*'Parametros Generales'!$J$10*'Parametros Generales'!$C$6*'Parametros Generales'!$C$11</f>
        <v>14738498.767401624</v>
      </c>
      <c r="AD107" s="417"/>
      <c r="AE107" s="417"/>
      <c r="AF107" s="417"/>
      <c r="AG107" s="417"/>
      <c r="AH107" s="417"/>
      <c r="AI107" s="417"/>
      <c r="AJ107" s="417"/>
      <c r="AK107" s="436"/>
      <c r="AL107" s="822"/>
    </row>
    <row r="108" spans="1:38" s="33" customFormat="1" hidden="1" outlineLevel="1">
      <c r="A108" s="1150"/>
      <c r="B108" s="821">
        <v>5</v>
      </c>
      <c r="C108" s="371" t="s">
        <v>47</v>
      </c>
      <c r="D108" s="31">
        <f>+VLOOKUP(E108,Codigos!$A$1:$B$1123,2,0)</f>
        <v>5148</v>
      </c>
      <c r="E108" s="1111" t="s">
        <v>1671</v>
      </c>
      <c r="F108" s="1103">
        <v>1</v>
      </c>
      <c r="G108" s="30">
        <v>198</v>
      </c>
      <c r="H108" s="1061">
        <f>CEILING(G108,'Parametros Generales'!$C$8)</f>
        <v>200</v>
      </c>
      <c r="I108" s="1057" t="s">
        <v>116</v>
      </c>
      <c r="J108" s="1058">
        <v>200</v>
      </c>
      <c r="K108" s="1070" t="str">
        <f t="shared" si="4"/>
        <v>Ok</v>
      </c>
      <c r="L108" s="1077">
        <f t="shared" si="5"/>
        <v>0</v>
      </c>
      <c r="M108" s="1090">
        <f>+H108/'Parametros Generales'!$C$8</f>
        <v>8</v>
      </c>
      <c r="N108" s="1097"/>
      <c r="O108" s="1097"/>
      <c r="P108" s="1097"/>
      <c r="Q108" s="1097"/>
      <c r="R108" s="1097">
        <f>+(M108/'Parametros Generales'!$C$9)</f>
        <v>2</v>
      </c>
      <c r="S108" s="390"/>
      <c r="T108" s="390"/>
      <c r="U108" s="390"/>
      <c r="V108" s="389"/>
      <c r="W108" s="32">
        <f>+R108*'Componentes T.H.'!$Q$9*'Parametros Generales'!C6</f>
        <v>10037014.142000001</v>
      </c>
      <c r="X108" s="32">
        <f>(+VLOOKUP(C108,'Transporte y Viaticos'!$B$87:$L$120,2,0)*'Parametros Generales'!$C$7*R108)*(2/3)</f>
        <v>2250326.2831462976</v>
      </c>
      <c r="Y108" s="417"/>
      <c r="Z108" s="417"/>
      <c r="AA108" s="417"/>
      <c r="AB108" s="417">
        <f>+M108*'Parametros Generales'!$C$6*'Parametros Generales'!$J$9</f>
        <v>3895272.7272727285</v>
      </c>
      <c r="AC108" s="417">
        <f>+H108*'Parametros Generales'!$J$10*'Parametros Generales'!$C$6*'Parametros Generales'!$C$11</f>
        <v>14738498.767401624</v>
      </c>
      <c r="AD108" s="417"/>
      <c r="AE108" s="417"/>
      <c r="AF108" s="417"/>
      <c r="AG108" s="417"/>
      <c r="AH108" s="417"/>
      <c r="AI108" s="417"/>
      <c r="AJ108" s="417"/>
      <c r="AK108" s="436"/>
      <c r="AL108" s="822"/>
    </row>
    <row r="109" spans="1:38" s="33" customFormat="1" hidden="1" outlineLevel="1">
      <c r="A109" s="1150"/>
      <c r="B109" s="821">
        <v>5</v>
      </c>
      <c r="C109" s="371" t="s">
        <v>47</v>
      </c>
      <c r="D109" s="31">
        <f>+VLOOKUP(E109,Codigos!$A$1:$B$1123,2,0)</f>
        <v>5697</v>
      </c>
      <c r="E109" s="1111" t="s">
        <v>1672</v>
      </c>
      <c r="F109" s="1103">
        <v>1</v>
      </c>
      <c r="G109" s="30">
        <v>198</v>
      </c>
      <c r="H109" s="1061">
        <f>CEILING(G109,'Parametros Generales'!$C$8)</f>
        <v>200</v>
      </c>
      <c r="I109" s="1057" t="s">
        <v>117</v>
      </c>
      <c r="J109" s="1058">
        <v>200</v>
      </c>
      <c r="K109" s="1070" t="str">
        <f t="shared" si="4"/>
        <v>Ok</v>
      </c>
      <c r="L109" s="1077">
        <f t="shared" si="5"/>
        <v>0</v>
      </c>
      <c r="M109" s="1090">
        <f>+H109/'Parametros Generales'!$C$8</f>
        <v>8</v>
      </c>
      <c r="N109" s="1097"/>
      <c r="O109" s="1097"/>
      <c r="P109" s="1097"/>
      <c r="Q109" s="1097"/>
      <c r="R109" s="1097">
        <f>+(M109/'Parametros Generales'!$C$9)</f>
        <v>2</v>
      </c>
      <c r="S109" s="390"/>
      <c r="T109" s="390"/>
      <c r="U109" s="390"/>
      <c r="V109" s="389"/>
      <c r="W109" s="32">
        <f>+R109*'Componentes T.H.'!$Q$9*'Parametros Generales'!C6</f>
        <v>10037014.142000001</v>
      </c>
      <c r="X109" s="32">
        <f>(+VLOOKUP(C109,'Transporte y Viaticos'!$B$87:$L$120,2,0)*'Parametros Generales'!$C$7*R109)*(2/3)</f>
        <v>2250326.2831462976</v>
      </c>
      <c r="Y109" s="417"/>
      <c r="Z109" s="417"/>
      <c r="AA109" s="417"/>
      <c r="AB109" s="417">
        <f>+M109*'Parametros Generales'!$C$6*'Parametros Generales'!$J$9</f>
        <v>3895272.7272727285</v>
      </c>
      <c r="AC109" s="417">
        <f>+H109*'Parametros Generales'!$J$10*'Parametros Generales'!$C$6*'Parametros Generales'!$C$11</f>
        <v>14738498.767401624</v>
      </c>
      <c r="AD109" s="417"/>
      <c r="AE109" s="417"/>
      <c r="AF109" s="417"/>
      <c r="AG109" s="417"/>
      <c r="AH109" s="417"/>
      <c r="AI109" s="417"/>
      <c r="AJ109" s="417"/>
      <c r="AK109" s="436"/>
      <c r="AL109" s="822"/>
    </row>
    <row r="110" spans="1:38" s="33" customFormat="1" hidden="1" outlineLevel="1">
      <c r="A110" s="1150"/>
      <c r="B110" s="821">
        <v>5</v>
      </c>
      <c r="C110" s="371" t="s">
        <v>47</v>
      </c>
      <c r="D110" s="31">
        <f>+VLOOKUP(E110,Codigos!$A$1:$B$1123,2,0)</f>
        <v>5313</v>
      </c>
      <c r="E110" s="1111" t="s">
        <v>1673</v>
      </c>
      <c r="F110" s="1103">
        <v>1</v>
      </c>
      <c r="G110" s="30">
        <v>198</v>
      </c>
      <c r="H110" s="1061">
        <f>CEILING(G110,'Parametros Generales'!$C$8)</f>
        <v>200</v>
      </c>
      <c r="I110" s="1057" t="s">
        <v>118</v>
      </c>
      <c r="J110" s="1058">
        <v>200</v>
      </c>
      <c r="K110" s="1070" t="str">
        <f t="shared" si="4"/>
        <v>Ok</v>
      </c>
      <c r="L110" s="1077">
        <f t="shared" si="5"/>
        <v>0</v>
      </c>
      <c r="M110" s="1090">
        <f>+H110/'Parametros Generales'!$C$8</f>
        <v>8</v>
      </c>
      <c r="N110" s="1097"/>
      <c r="O110" s="1097"/>
      <c r="P110" s="1097"/>
      <c r="Q110" s="1097"/>
      <c r="R110" s="1097">
        <f>+(M110/'Parametros Generales'!$C$9)</f>
        <v>2</v>
      </c>
      <c r="S110" s="390"/>
      <c r="T110" s="390"/>
      <c r="U110" s="390"/>
      <c r="V110" s="389"/>
      <c r="W110" s="32">
        <f>+R110*'Componentes T.H.'!$Q$9*'Parametros Generales'!C6</f>
        <v>10037014.142000001</v>
      </c>
      <c r="X110" s="32">
        <f>(+VLOOKUP(C110,'Transporte y Viaticos'!$B$87:$L$120,2,0)*'Parametros Generales'!$C$7*R110)*(2/3)</f>
        <v>2250326.2831462976</v>
      </c>
      <c r="Y110" s="417"/>
      <c r="Z110" s="417"/>
      <c r="AA110" s="417"/>
      <c r="AB110" s="417">
        <f>+M110*'Parametros Generales'!$C$6*'Parametros Generales'!$J$9</f>
        <v>3895272.7272727285</v>
      </c>
      <c r="AC110" s="417">
        <f>+H110*'Parametros Generales'!$J$10*'Parametros Generales'!$C$6*'Parametros Generales'!$C$11</f>
        <v>14738498.767401624</v>
      </c>
      <c r="AD110" s="417"/>
      <c r="AE110" s="417"/>
      <c r="AF110" s="417"/>
      <c r="AG110" s="417"/>
      <c r="AH110" s="417"/>
      <c r="AI110" s="417"/>
      <c r="AJ110" s="417"/>
      <c r="AK110" s="436"/>
      <c r="AL110" s="822"/>
    </row>
    <row r="111" spans="1:38" s="33" customFormat="1" hidden="1" outlineLevel="1">
      <c r="A111" s="1150"/>
      <c r="B111" s="821">
        <v>5</v>
      </c>
      <c r="C111" s="371" t="s">
        <v>47</v>
      </c>
      <c r="D111" s="31">
        <f>+VLOOKUP(E111,Codigos!$A$1:$B$1123,2,0)</f>
        <v>5318</v>
      </c>
      <c r="E111" s="1111" t="s">
        <v>1674</v>
      </c>
      <c r="F111" s="1103">
        <v>1</v>
      </c>
      <c r="G111" s="30">
        <v>198</v>
      </c>
      <c r="H111" s="1061">
        <f>CEILING(G111,'Parametros Generales'!$C$8)</f>
        <v>200</v>
      </c>
      <c r="I111" s="1057" t="s">
        <v>119</v>
      </c>
      <c r="J111" s="1058">
        <v>200</v>
      </c>
      <c r="K111" s="1070" t="str">
        <f t="shared" si="4"/>
        <v>Ok</v>
      </c>
      <c r="L111" s="1077">
        <f t="shared" si="5"/>
        <v>0</v>
      </c>
      <c r="M111" s="1090">
        <f>+H111/'Parametros Generales'!$C$8</f>
        <v>8</v>
      </c>
      <c r="N111" s="1097"/>
      <c r="O111" s="1097"/>
      <c r="P111" s="1097"/>
      <c r="Q111" s="1097"/>
      <c r="R111" s="1097">
        <f>+(M111/'Parametros Generales'!$C$9)</f>
        <v>2</v>
      </c>
      <c r="S111" s="390"/>
      <c r="T111" s="390"/>
      <c r="U111" s="390"/>
      <c r="V111" s="389"/>
      <c r="W111" s="32">
        <f>+R111*'Componentes T.H.'!$Q$9*'Parametros Generales'!C6</f>
        <v>10037014.142000001</v>
      </c>
      <c r="X111" s="32">
        <f>(+VLOOKUP(C111,'Transporte y Viaticos'!$B$87:$L$120,2,0)*'Parametros Generales'!$C$7*R111)*(2/3)</f>
        <v>2250326.2831462976</v>
      </c>
      <c r="Y111" s="417"/>
      <c r="Z111" s="417"/>
      <c r="AA111" s="417"/>
      <c r="AB111" s="417">
        <f>+M111*'Parametros Generales'!$C$6*'Parametros Generales'!$J$9</f>
        <v>3895272.7272727285</v>
      </c>
      <c r="AC111" s="417">
        <f>+H111*'Parametros Generales'!$J$10*'Parametros Generales'!$C$6*'Parametros Generales'!$C$11</f>
        <v>14738498.767401624</v>
      </c>
      <c r="AD111" s="417"/>
      <c r="AE111" s="417"/>
      <c r="AF111" s="417"/>
      <c r="AG111" s="417"/>
      <c r="AH111" s="417"/>
      <c r="AI111" s="417"/>
      <c r="AJ111" s="417"/>
      <c r="AK111" s="436"/>
      <c r="AL111" s="822"/>
    </row>
    <row r="112" spans="1:38" s="33" customFormat="1" hidden="1" outlineLevel="1">
      <c r="A112" s="1150"/>
      <c r="B112" s="821">
        <v>5</v>
      </c>
      <c r="C112" s="371" t="s">
        <v>47</v>
      </c>
      <c r="D112" s="31">
        <f>+VLOOKUP(E112,Codigos!$A$1:$B$1123,2,0)</f>
        <v>5376</v>
      </c>
      <c r="E112" s="1111" t="s">
        <v>1675</v>
      </c>
      <c r="F112" s="1103">
        <v>1</v>
      </c>
      <c r="G112" s="30">
        <v>198</v>
      </c>
      <c r="H112" s="1061">
        <f>CEILING(G112,'Parametros Generales'!$C$8)</f>
        <v>200</v>
      </c>
      <c r="I112" s="1057" t="s">
        <v>120</v>
      </c>
      <c r="J112" s="1058">
        <v>200</v>
      </c>
      <c r="K112" s="1070" t="str">
        <f t="shared" si="4"/>
        <v>Ok</v>
      </c>
      <c r="L112" s="1077">
        <f t="shared" si="5"/>
        <v>0</v>
      </c>
      <c r="M112" s="1090">
        <f>+H112/'Parametros Generales'!$C$8</f>
        <v>8</v>
      </c>
      <c r="N112" s="1097"/>
      <c r="O112" s="1097"/>
      <c r="P112" s="1097"/>
      <c r="Q112" s="1097"/>
      <c r="R112" s="1097">
        <f>+(M112/'Parametros Generales'!$C$9)</f>
        <v>2</v>
      </c>
      <c r="S112" s="390"/>
      <c r="T112" s="390"/>
      <c r="U112" s="390"/>
      <c r="V112" s="389"/>
      <c r="W112" s="32">
        <f>+R112*'Componentes T.H.'!$Q$9*'Parametros Generales'!C6</f>
        <v>10037014.142000001</v>
      </c>
      <c r="X112" s="32">
        <f>(+VLOOKUP(C112,'Transporte y Viaticos'!$B$87:$L$120,2,0)*'Parametros Generales'!$C$7*R112)*(2/3)</f>
        <v>2250326.2831462976</v>
      </c>
      <c r="Y112" s="417"/>
      <c r="Z112" s="417"/>
      <c r="AA112" s="417"/>
      <c r="AB112" s="417">
        <f>+M112*'Parametros Generales'!$C$6*'Parametros Generales'!$J$9</f>
        <v>3895272.7272727285</v>
      </c>
      <c r="AC112" s="417">
        <f>+H112*'Parametros Generales'!$J$10*'Parametros Generales'!$C$6*'Parametros Generales'!$C$11</f>
        <v>14738498.767401624</v>
      </c>
      <c r="AD112" s="417"/>
      <c r="AE112" s="417"/>
      <c r="AF112" s="417"/>
      <c r="AG112" s="417"/>
      <c r="AH112" s="417"/>
      <c r="AI112" s="417"/>
      <c r="AJ112" s="417"/>
      <c r="AK112" s="436"/>
      <c r="AL112" s="822"/>
    </row>
    <row r="113" spans="1:38" s="33" customFormat="1" hidden="1" outlineLevel="1">
      <c r="A113" s="1150"/>
      <c r="B113" s="821">
        <v>5</v>
      </c>
      <c r="C113" s="371" t="s">
        <v>47</v>
      </c>
      <c r="D113" s="31">
        <f>+VLOOKUP(E113,Codigos!$A$1:$B$1123,2,0)</f>
        <v>5400</v>
      </c>
      <c r="E113" s="1111" t="s">
        <v>1676</v>
      </c>
      <c r="F113" s="1103">
        <v>1</v>
      </c>
      <c r="G113" s="30">
        <v>198</v>
      </c>
      <c r="H113" s="1061">
        <f>CEILING(G113,'Parametros Generales'!$C$8)</f>
        <v>200</v>
      </c>
      <c r="I113" s="1057" t="s">
        <v>121</v>
      </c>
      <c r="J113" s="1058">
        <v>200</v>
      </c>
      <c r="K113" s="1070" t="str">
        <f t="shared" si="4"/>
        <v>Ok</v>
      </c>
      <c r="L113" s="1077">
        <f t="shared" si="5"/>
        <v>0</v>
      </c>
      <c r="M113" s="1090">
        <f>+H113/'Parametros Generales'!$C$8</f>
        <v>8</v>
      </c>
      <c r="N113" s="1097"/>
      <c r="O113" s="1097"/>
      <c r="P113" s="1097"/>
      <c r="Q113" s="1097"/>
      <c r="R113" s="1097">
        <f>+(M113/'Parametros Generales'!$C$9)</f>
        <v>2</v>
      </c>
      <c r="S113" s="390"/>
      <c r="T113" s="390"/>
      <c r="U113" s="390"/>
      <c r="V113" s="389"/>
      <c r="W113" s="32">
        <f>+R113*'Componentes T.H.'!$Q$9*'Parametros Generales'!C6</f>
        <v>10037014.142000001</v>
      </c>
      <c r="X113" s="32">
        <f>(+VLOOKUP(C113,'Transporte y Viaticos'!$B$87:$L$120,2,0)*'Parametros Generales'!$C$7*R113)*(2/3)</f>
        <v>2250326.2831462976</v>
      </c>
      <c r="Y113" s="417"/>
      <c r="Z113" s="417"/>
      <c r="AA113" s="417"/>
      <c r="AB113" s="417">
        <f>+M113*'Parametros Generales'!$C$6*'Parametros Generales'!$J$9</f>
        <v>3895272.7272727285</v>
      </c>
      <c r="AC113" s="417">
        <f>+H113*'Parametros Generales'!$J$10*'Parametros Generales'!$C$6*'Parametros Generales'!$C$11</f>
        <v>14738498.767401624</v>
      </c>
      <c r="AD113" s="417"/>
      <c r="AE113" s="417"/>
      <c r="AF113" s="417"/>
      <c r="AG113" s="417"/>
      <c r="AH113" s="417"/>
      <c r="AI113" s="417"/>
      <c r="AJ113" s="417"/>
      <c r="AK113" s="436"/>
      <c r="AL113" s="822"/>
    </row>
    <row r="114" spans="1:38" s="33" customFormat="1" hidden="1" outlineLevel="1">
      <c r="A114" s="1150"/>
      <c r="B114" s="821">
        <v>5</v>
      </c>
      <c r="C114" s="371" t="s">
        <v>47</v>
      </c>
      <c r="D114" s="31">
        <f>+VLOOKUP(E114,Codigos!$A$1:$B$1123,2,0)</f>
        <v>5440</v>
      </c>
      <c r="E114" s="1111" t="s">
        <v>1677</v>
      </c>
      <c r="F114" s="1103">
        <v>1</v>
      </c>
      <c r="G114" s="30">
        <v>198</v>
      </c>
      <c r="H114" s="1061">
        <f>CEILING(G114,'Parametros Generales'!$C$8)</f>
        <v>200</v>
      </c>
      <c r="I114" s="1057" t="s">
        <v>122</v>
      </c>
      <c r="J114" s="1058">
        <v>200</v>
      </c>
      <c r="K114" s="1070" t="str">
        <f t="shared" si="4"/>
        <v>Ok</v>
      </c>
      <c r="L114" s="1077">
        <f t="shared" si="5"/>
        <v>0</v>
      </c>
      <c r="M114" s="1090">
        <f>+H114/'Parametros Generales'!$C$8</f>
        <v>8</v>
      </c>
      <c r="N114" s="1097"/>
      <c r="O114" s="1097"/>
      <c r="P114" s="1097"/>
      <c r="Q114" s="1097"/>
      <c r="R114" s="1097">
        <f>+(M114/'Parametros Generales'!$C$9)</f>
        <v>2</v>
      </c>
      <c r="S114" s="390"/>
      <c r="T114" s="390"/>
      <c r="U114" s="390"/>
      <c r="V114" s="389"/>
      <c r="W114" s="32">
        <f>+R114*'Componentes T.H.'!$Q$9*'Parametros Generales'!C6</f>
        <v>10037014.142000001</v>
      </c>
      <c r="X114" s="32">
        <f>(+VLOOKUP(C114,'Transporte y Viaticos'!$B$87:$L$120,2,0)*'Parametros Generales'!$C$7*R114)*(2/3)</f>
        <v>2250326.2831462976</v>
      </c>
      <c r="Y114" s="417"/>
      <c r="Z114" s="417"/>
      <c r="AA114" s="417"/>
      <c r="AB114" s="417">
        <f>+M114*'Parametros Generales'!$C$6*'Parametros Generales'!$J$9</f>
        <v>3895272.7272727285</v>
      </c>
      <c r="AC114" s="417">
        <f>+H114*'Parametros Generales'!$J$10*'Parametros Generales'!$C$6*'Parametros Generales'!$C$11</f>
        <v>14738498.767401624</v>
      </c>
      <c r="AD114" s="417"/>
      <c r="AE114" s="417"/>
      <c r="AF114" s="417"/>
      <c r="AG114" s="417"/>
      <c r="AH114" s="417"/>
      <c r="AI114" s="417"/>
      <c r="AJ114" s="417"/>
      <c r="AK114" s="436"/>
      <c r="AL114" s="822"/>
    </row>
    <row r="115" spans="1:38" s="33" customFormat="1" hidden="1" outlineLevel="1">
      <c r="A115" s="1150"/>
      <c r="B115" s="821">
        <v>5</v>
      </c>
      <c r="C115" s="371" t="s">
        <v>47</v>
      </c>
      <c r="D115" s="31">
        <f>+VLOOKUP(E115,Codigos!$A$1:$B$1123,2,0)</f>
        <v>5483</v>
      </c>
      <c r="E115" s="1111" t="s">
        <v>484</v>
      </c>
      <c r="F115" s="1103">
        <v>1</v>
      </c>
      <c r="G115" s="30">
        <v>198</v>
      </c>
      <c r="H115" s="1061">
        <f>CEILING(G115,'Parametros Generales'!$C$8)</f>
        <v>200</v>
      </c>
      <c r="I115" s="1057" t="s">
        <v>123</v>
      </c>
      <c r="J115" s="1058">
        <v>200</v>
      </c>
      <c r="K115" s="1070" t="str">
        <f t="shared" si="4"/>
        <v>Ok</v>
      </c>
      <c r="L115" s="1077">
        <f t="shared" si="5"/>
        <v>0</v>
      </c>
      <c r="M115" s="1090">
        <f>+H115/'Parametros Generales'!$C$8</f>
        <v>8</v>
      </c>
      <c r="N115" s="1097"/>
      <c r="O115" s="1097"/>
      <c r="P115" s="1097"/>
      <c r="Q115" s="1097"/>
      <c r="R115" s="1097">
        <f>+(M115/'Parametros Generales'!$C$9)</f>
        <v>2</v>
      </c>
      <c r="S115" s="390"/>
      <c r="T115" s="390"/>
      <c r="U115" s="390"/>
      <c r="V115" s="389"/>
      <c r="W115" s="32">
        <f>+R115*'Componentes T.H.'!$Q$9*'Parametros Generales'!C6</f>
        <v>10037014.142000001</v>
      </c>
      <c r="X115" s="32">
        <f>(+VLOOKUP(C115,'Transporte y Viaticos'!$B$87:$L$120,2,0)*'Parametros Generales'!$C$7*R115)*(2/3)</f>
        <v>2250326.2831462976</v>
      </c>
      <c r="Y115" s="417"/>
      <c r="Z115" s="417"/>
      <c r="AA115" s="417"/>
      <c r="AB115" s="417">
        <f>+M115*'Parametros Generales'!$C$6*'Parametros Generales'!$J$9</f>
        <v>3895272.7272727285</v>
      </c>
      <c r="AC115" s="417">
        <f>+H115*'Parametros Generales'!$J$10*'Parametros Generales'!$C$6*'Parametros Generales'!$C$11</f>
        <v>14738498.767401624</v>
      </c>
      <c r="AD115" s="417"/>
      <c r="AE115" s="417"/>
      <c r="AF115" s="417"/>
      <c r="AG115" s="417"/>
      <c r="AH115" s="417"/>
      <c r="AI115" s="417"/>
      <c r="AJ115" s="417"/>
      <c r="AK115" s="436"/>
      <c r="AL115" s="822"/>
    </row>
    <row r="116" spans="1:38" s="33" customFormat="1" hidden="1" outlineLevel="1">
      <c r="A116" s="1150"/>
      <c r="B116" s="821">
        <v>5</v>
      </c>
      <c r="C116" s="371" t="s">
        <v>47</v>
      </c>
      <c r="D116" s="31">
        <f>+VLOOKUP(E116,Codigos!$A$1:$B$1123,2,0)</f>
        <v>5607</v>
      </c>
      <c r="E116" s="1111" t="s">
        <v>1678</v>
      </c>
      <c r="F116" s="1103">
        <v>1</v>
      </c>
      <c r="G116" s="30">
        <v>198</v>
      </c>
      <c r="H116" s="1061">
        <f>CEILING(G116,'Parametros Generales'!$C$8)</f>
        <v>200</v>
      </c>
      <c r="I116" s="1057" t="s">
        <v>124</v>
      </c>
      <c r="J116" s="1058">
        <v>200</v>
      </c>
      <c r="K116" s="1070" t="str">
        <f t="shared" si="4"/>
        <v>Ok</v>
      </c>
      <c r="L116" s="1077">
        <f t="shared" si="5"/>
        <v>0</v>
      </c>
      <c r="M116" s="1090">
        <f>+H116/'Parametros Generales'!$C$8</f>
        <v>8</v>
      </c>
      <c r="N116" s="1097"/>
      <c r="O116" s="1097"/>
      <c r="P116" s="1097"/>
      <c r="Q116" s="1097"/>
      <c r="R116" s="1097">
        <f>+(M116/'Parametros Generales'!$C$9)</f>
        <v>2</v>
      </c>
      <c r="S116" s="390"/>
      <c r="T116" s="390"/>
      <c r="U116" s="390"/>
      <c r="V116" s="389"/>
      <c r="W116" s="32">
        <f>+R116*'Componentes T.H.'!$Q$9*'Parametros Generales'!C6</f>
        <v>10037014.142000001</v>
      </c>
      <c r="X116" s="32">
        <f>(+VLOOKUP(C116,'Transporte y Viaticos'!$B$87:$L$120,2,0)*'Parametros Generales'!$C$7*R116)*(2/3)</f>
        <v>2250326.2831462976</v>
      </c>
      <c r="Y116" s="417"/>
      <c r="Z116" s="417"/>
      <c r="AA116" s="417"/>
      <c r="AB116" s="417">
        <f>+M116*'Parametros Generales'!$C$6*'Parametros Generales'!$J$9</f>
        <v>3895272.7272727285</v>
      </c>
      <c r="AC116" s="417">
        <f>+H116*'Parametros Generales'!$J$10*'Parametros Generales'!$C$6*'Parametros Generales'!$C$11</f>
        <v>14738498.767401624</v>
      </c>
      <c r="AD116" s="417"/>
      <c r="AE116" s="417"/>
      <c r="AF116" s="417"/>
      <c r="AG116" s="417"/>
      <c r="AH116" s="417"/>
      <c r="AI116" s="417"/>
      <c r="AJ116" s="417"/>
      <c r="AK116" s="436"/>
      <c r="AL116" s="822"/>
    </row>
    <row r="117" spans="1:38" s="33" customFormat="1" hidden="1" outlineLevel="1">
      <c r="A117" s="1150"/>
      <c r="B117" s="821">
        <v>5</v>
      </c>
      <c r="C117" s="371" t="s">
        <v>47</v>
      </c>
      <c r="D117" s="31">
        <f>+VLOOKUP(E117,Codigos!$A$1:$B$1123,2,0)</f>
        <v>5615</v>
      </c>
      <c r="E117" s="1111" t="s">
        <v>1679</v>
      </c>
      <c r="F117" s="1103">
        <v>1</v>
      </c>
      <c r="G117" s="30">
        <v>198</v>
      </c>
      <c r="H117" s="1061">
        <f>CEILING(G117,'Parametros Generales'!$C$8)</f>
        <v>200</v>
      </c>
      <c r="I117" s="1057" t="s">
        <v>125</v>
      </c>
      <c r="J117" s="1058">
        <v>200</v>
      </c>
      <c r="K117" s="1070" t="str">
        <f t="shared" si="4"/>
        <v>Ok</v>
      </c>
      <c r="L117" s="1077">
        <f t="shared" si="5"/>
        <v>0</v>
      </c>
      <c r="M117" s="1090">
        <f>+H117/'Parametros Generales'!$C$8</f>
        <v>8</v>
      </c>
      <c r="N117" s="1097"/>
      <c r="O117" s="1097"/>
      <c r="P117" s="1097"/>
      <c r="Q117" s="1097"/>
      <c r="R117" s="1097">
        <f>+(M117/'Parametros Generales'!$C$9)</f>
        <v>2</v>
      </c>
      <c r="S117" s="390"/>
      <c r="T117" s="390"/>
      <c r="U117" s="390"/>
      <c r="V117" s="389"/>
      <c r="W117" s="32">
        <f>+R117*'Componentes T.H.'!$Q$9*'Parametros Generales'!C6</f>
        <v>10037014.142000001</v>
      </c>
      <c r="X117" s="32">
        <f>(+VLOOKUP(C117,'Transporte y Viaticos'!$B$87:$L$120,2,0)*'Parametros Generales'!$C$7*R117)*(2/3)</f>
        <v>2250326.2831462976</v>
      </c>
      <c r="Y117" s="417"/>
      <c r="Z117" s="417"/>
      <c r="AA117" s="417"/>
      <c r="AB117" s="417">
        <f>+M117*'Parametros Generales'!$C$6*'Parametros Generales'!$J$9</f>
        <v>3895272.7272727285</v>
      </c>
      <c r="AC117" s="417">
        <f>+H117*'Parametros Generales'!$J$10*'Parametros Generales'!$C$6*'Parametros Generales'!$C$11</f>
        <v>14738498.767401624</v>
      </c>
      <c r="AD117" s="417"/>
      <c r="AE117" s="417"/>
      <c r="AF117" s="417"/>
      <c r="AG117" s="417"/>
      <c r="AH117" s="417"/>
      <c r="AI117" s="417"/>
      <c r="AJ117" s="417"/>
      <c r="AK117" s="436"/>
      <c r="AL117" s="822"/>
    </row>
    <row r="118" spans="1:38" s="33" customFormat="1" hidden="1" outlineLevel="1">
      <c r="A118" s="1150"/>
      <c r="B118" s="821">
        <v>5</v>
      </c>
      <c r="C118" s="371" t="s">
        <v>47</v>
      </c>
      <c r="D118" s="31">
        <f>+VLOOKUP(E118,Codigos!$A$1:$B$1123,2,0)</f>
        <v>5649</v>
      </c>
      <c r="E118" s="1111" t="s">
        <v>1680</v>
      </c>
      <c r="F118" s="1103">
        <v>1</v>
      </c>
      <c r="G118" s="30">
        <v>198</v>
      </c>
      <c r="H118" s="1061">
        <f>CEILING((G118-50),'Parametros Generales'!$C$8)</f>
        <v>150</v>
      </c>
      <c r="I118" s="1057" t="s">
        <v>126</v>
      </c>
      <c r="J118" s="1058">
        <v>150</v>
      </c>
      <c r="K118" s="1070" t="str">
        <f t="shared" si="4"/>
        <v>Ok</v>
      </c>
      <c r="L118" s="1077">
        <f t="shared" si="5"/>
        <v>0</v>
      </c>
      <c r="M118" s="1090">
        <f>+H118/'Parametros Generales'!$C$8</f>
        <v>6</v>
      </c>
      <c r="N118" s="1097"/>
      <c r="O118" s="1097"/>
      <c r="P118" s="1097"/>
      <c r="Q118" s="1097"/>
      <c r="R118" s="1097">
        <f>+(M118/'Parametros Generales'!$C$9)</f>
        <v>1.5</v>
      </c>
      <c r="S118" s="390"/>
      <c r="T118" s="390"/>
      <c r="U118" s="390"/>
      <c r="V118" s="389"/>
      <c r="W118" s="32">
        <f>+R118*'Componentes T.H.'!$Q$9*'Parametros Generales'!C6</f>
        <v>7527760.6064999998</v>
      </c>
      <c r="X118" s="32">
        <f>(+VLOOKUP(C118,'Transporte y Viaticos'!$B$87:$L$120,2,0)*'Parametros Generales'!$C$7*R118)*(2/3)</f>
        <v>1687744.7123597232</v>
      </c>
      <c r="Y118" s="417"/>
      <c r="Z118" s="417"/>
      <c r="AA118" s="417"/>
      <c r="AB118" s="417">
        <f>+M118*'Parametros Generales'!$C$6*'Parametros Generales'!$J$9</f>
        <v>2921454.5454545463</v>
      </c>
      <c r="AC118" s="417">
        <f>+H118*'Parametros Generales'!$J$10*'Parametros Generales'!$C$6*'Parametros Generales'!$C$11</f>
        <v>11053874.075551221</v>
      </c>
      <c r="AD118" s="417"/>
      <c r="AE118" s="417"/>
      <c r="AF118" s="417"/>
      <c r="AG118" s="417"/>
      <c r="AH118" s="417"/>
      <c r="AI118" s="417"/>
      <c r="AJ118" s="417"/>
      <c r="AK118" s="436"/>
      <c r="AL118" s="822"/>
    </row>
    <row r="119" spans="1:38" s="33" customFormat="1" hidden="1" outlineLevel="1">
      <c r="A119" s="1150"/>
      <c r="B119" s="821">
        <v>5</v>
      </c>
      <c r="C119" s="371" t="s">
        <v>47</v>
      </c>
      <c r="D119" s="31">
        <f>+VLOOKUP(E119,Codigos!$A$1:$B$1123,2,0)</f>
        <v>5660</v>
      </c>
      <c r="E119" s="1111" t="s">
        <v>1681</v>
      </c>
      <c r="F119" s="1103">
        <v>1</v>
      </c>
      <c r="G119" s="30">
        <v>198</v>
      </c>
      <c r="H119" s="1061">
        <f>CEILING(G119,'Parametros Generales'!$C$8)</f>
        <v>200</v>
      </c>
      <c r="I119" s="1057" t="s">
        <v>127</v>
      </c>
      <c r="J119" s="1058">
        <v>200</v>
      </c>
      <c r="K119" s="1070" t="str">
        <f t="shared" si="4"/>
        <v>Ok</v>
      </c>
      <c r="L119" s="1077">
        <f t="shared" si="5"/>
        <v>0</v>
      </c>
      <c r="M119" s="1090">
        <f>+H119/'Parametros Generales'!$C$8</f>
        <v>8</v>
      </c>
      <c r="N119" s="1097"/>
      <c r="O119" s="1097"/>
      <c r="P119" s="1097"/>
      <c r="Q119" s="1097"/>
      <c r="R119" s="1097">
        <f>+(M119/'Parametros Generales'!$C$9)</f>
        <v>2</v>
      </c>
      <c r="S119" s="390"/>
      <c r="T119" s="390"/>
      <c r="U119" s="390"/>
      <c r="V119" s="389"/>
      <c r="W119" s="32">
        <f>+R119*'Componentes T.H.'!$Q$9*'Parametros Generales'!C6</f>
        <v>10037014.142000001</v>
      </c>
      <c r="X119" s="32">
        <f>(+VLOOKUP(C119,'Transporte y Viaticos'!$B$87:$L$120,2,0)*'Parametros Generales'!$C$7*R119)*(2/3)</f>
        <v>2250326.2831462976</v>
      </c>
      <c r="Y119" s="417"/>
      <c r="Z119" s="417"/>
      <c r="AA119" s="417"/>
      <c r="AB119" s="417">
        <f>+M119*'Parametros Generales'!$C$6*'Parametros Generales'!$J$9</f>
        <v>3895272.7272727285</v>
      </c>
      <c r="AC119" s="417">
        <f>+H119*'Parametros Generales'!$J$10*'Parametros Generales'!$C$6*'Parametros Generales'!$C$11</f>
        <v>14738498.767401624</v>
      </c>
      <c r="AD119" s="417"/>
      <c r="AE119" s="417"/>
      <c r="AF119" s="417"/>
      <c r="AG119" s="417"/>
      <c r="AH119" s="417"/>
      <c r="AI119" s="417"/>
      <c r="AJ119" s="417"/>
      <c r="AK119" s="436"/>
      <c r="AL119" s="822"/>
    </row>
    <row r="120" spans="1:38" s="33" customFormat="1" hidden="1" outlineLevel="1">
      <c r="A120" s="1150"/>
      <c r="B120" s="821">
        <v>5</v>
      </c>
      <c r="C120" s="371" t="s">
        <v>47</v>
      </c>
      <c r="D120" s="31">
        <f>+VLOOKUP(E120,Codigos!$A$1:$B$1123,2,0)</f>
        <v>5667</v>
      </c>
      <c r="E120" s="1111" t="s">
        <v>1682</v>
      </c>
      <c r="F120" s="1103">
        <v>1</v>
      </c>
      <c r="G120" s="30">
        <v>198</v>
      </c>
      <c r="H120" s="1061">
        <f>CEILING((G120-50),'Parametros Generales'!$C$8)</f>
        <v>150</v>
      </c>
      <c r="I120" s="1057" t="s">
        <v>128</v>
      </c>
      <c r="J120" s="1058">
        <v>150</v>
      </c>
      <c r="K120" s="1070" t="str">
        <f t="shared" si="4"/>
        <v>Ok</v>
      </c>
      <c r="L120" s="1077">
        <f t="shared" si="5"/>
        <v>0</v>
      </c>
      <c r="M120" s="1090">
        <f>+H120/'Parametros Generales'!$C$8</f>
        <v>6</v>
      </c>
      <c r="N120" s="1097"/>
      <c r="O120" s="1097"/>
      <c r="P120" s="1097"/>
      <c r="Q120" s="1097"/>
      <c r="R120" s="1097">
        <f>+(M120/'Parametros Generales'!$C$9)</f>
        <v>1.5</v>
      </c>
      <c r="S120" s="390"/>
      <c r="T120" s="390"/>
      <c r="U120" s="390"/>
      <c r="V120" s="389"/>
      <c r="W120" s="32">
        <f>+R120*'Componentes T.H.'!$Q$9*'Parametros Generales'!C6</f>
        <v>7527760.6064999998</v>
      </c>
      <c r="X120" s="32">
        <f>(+VLOOKUP(C120,'Transporte y Viaticos'!$B$87:$L$120,2,0)*'Parametros Generales'!$C$7*R120)*(2/3)</f>
        <v>1687744.7123597232</v>
      </c>
      <c r="Y120" s="417"/>
      <c r="Z120" s="417"/>
      <c r="AA120" s="417"/>
      <c r="AB120" s="417">
        <f>+M120*'Parametros Generales'!$C$6*'Parametros Generales'!$J$9</f>
        <v>2921454.5454545463</v>
      </c>
      <c r="AC120" s="417">
        <f>+H120*'Parametros Generales'!$J$10*'Parametros Generales'!$C$6*'Parametros Generales'!$C$11</f>
        <v>11053874.075551221</v>
      </c>
      <c r="AD120" s="417"/>
      <c r="AE120" s="417"/>
      <c r="AF120" s="417"/>
      <c r="AG120" s="417"/>
      <c r="AH120" s="417"/>
      <c r="AI120" s="417"/>
      <c r="AJ120" s="417"/>
      <c r="AK120" s="436"/>
      <c r="AL120" s="822"/>
    </row>
    <row r="121" spans="1:38" s="33" customFormat="1" hidden="1" outlineLevel="1">
      <c r="A121" s="1150"/>
      <c r="B121" s="821">
        <v>5</v>
      </c>
      <c r="C121" s="371" t="s">
        <v>47</v>
      </c>
      <c r="D121" s="31">
        <f>+VLOOKUP(E121,Codigos!$A$1:$B$1123,2,0)</f>
        <v>5674</v>
      </c>
      <c r="E121" s="1111" t="s">
        <v>1683</v>
      </c>
      <c r="F121" s="1103">
        <v>1</v>
      </c>
      <c r="G121" s="30">
        <v>198</v>
      </c>
      <c r="H121" s="1061">
        <f>CEILING(G121,'Parametros Generales'!$C$8)</f>
        <v>200</v>
      </c>
      <c r="I121" s="1057" t="s">
        <v>129</v>
      </c>
      <c r="J121" s="1058">
        <v>200</v>
      </c>
      <c r="K121" s="1070" t="str">
        <f t="shared" si="4"/>
        <v>Ok</v>
      </c>
      <c r="L121" s="1077">
        <f t="shared" si="5"/>
        <v>0</v>
      </c>
      <c r="M121" s="1090">
        <f>+H121/'Parametros Generales'!$C$8</f>
        <v>8</v>
      </c>
      <c r="N121" s="1097"/>
      <c r="O121" s="1097"/>
      <c r="P121" s="1097"/>
      <c r="Q121" s="1097"/>
      <c r="R121" s="1097">
        <f>+(M121/'Parametros Generales'!$C$9)</f>
        <v>2</v>
      </c>
      <c r="S121" s="390"/>
      <c r="T121" s="390"/>
      <c r="U121" s="390"/>
      <c r="V121" s="389"/>
      <c r="W121" s="32">
        <f>+R121*'Componentes T.H.'!$Q$9*'Parametros Generales'!C6</f>
        <v>10037014.142000001</v>
      </c>
      <c r="X121" s="32">
        <f>(+VLOOKUP(C121,'Transporte y Viaticos'!$B$87:$L$120,2,0)*'Parametros Generales'!$C$7*R121)*(2/3)</f>
        <v>2250326.2831462976</v>
      </c>
      <c r="Y121" s="417"/>
      <c r="Z121" s="417"/>
      <c r="AA121" s="417"/>
      <c r="AB121" s="417">
        <f>+M121*'Parametros Generales'!$C$6*'Parametros Generales'!$J$9</f>
        <v>3895272.7272727285</v>
      </c>
      <c r="AC121" s="417">
        <f>+H121*'Parametros Generales'!$J$10*'Parametros Generales'!$C$6*'Parametros Generales'!$C$11</f>
        <v>14738498.767401624</v>
      </c>
      <c r="AD121" s="417"/>
      <c r="AE121" s="417"/>
      <c r="AF121" s="417"/>
      <c r="AG121" s="417"/>
      <c r="AH121" s="417"/>
      <c r="AI121" s="417"/>
      <c r="AJ121" s="417"/>
      <c r="AK121" s="436"/>
      <c r="AL121" s="822"/>
    </row>
    <row r="122" spans="1:38" s="33" customFormat="1" hidden="1" outlineLevel="1">
      <c r="A122" s="1150"/>
      <c r="B122" s="823">
        <v>5</v>
      </c>
      <c r="C122" s="373" t="s">
        <v>47</v>
      </c>
      <c r="D122" s="374">
        <f>+VLOOKUP(E122,Codigos!$A$1:$B$1123,2,0)</f>
        <v>5756</v>
      </c>
      <c r="E122" s="1113" t="s">
        <v>1684</v>
      </c>
      <c r="F122" s="1104">
        <v>1</v>
      </c>
      <c r="G122" s="375">
        <v>198</v>
      </c>
      <c r="H122" s="1062">
        <f>CEILING(G122,'Parametros Generales'!$C$8)</f>
        <v>200</v>
      </c>
      <c r="I122" s="1057" t="s">
        <v>130</v>
      </c>
      <c r="J122" s="1058">
        <v>200</v>
      </c>
      <c r="K122" s="1070" t="str">
        <f t="shared" si="4"/>
        <v>Ok</v>
      </c>
      <c r="L122" s="1077">
        <f t="shared" si="5"/>
        <v>0</v>
      </c>
      <c r="M122" s="1091">
        <f>+H122/'Parametros Generales'!$C$8</f>
        <v>8</v>
      </c>
      <c r="N122" s="1098"/>
      <c r="O122" s="1098"/>
      <c r="P122" s="1098"/>
      <c r="Q122" s="1098"/>
      <c r="R122" s="1098">
        <f>+(M122/'Parametros Generales'!$C$9)</f>
        <v>2</v>
      </c>
      <c r="S122" s="395"/>
      <c r="T122" s="395"/>
      <c r="U122" s="395"/>
      <c r="V122" s="396"/>
      <c r="W122" s="376">
        <f>+R122*'Componentes T.H.'!$Q$9*'Parametros Generales'!$C$6</f>
        <v>10037014.142000001</v>
      </c>
      <c r="X122" s="376">
        <f>(+VLOOKUP(C122,'Transporte y Viaticos'!$B$87:$L$120,2,0)*'Parametros Generales'!$C$7*R122)*(2/3)</f>
        <v>2250326.2831462976</v>
      </c>
      <c r="Y122" s="417"/>
      <c r="Z122" s="417"/>
      <c r="AA122" s="417"/>
      <c r="AB122" s="417">
        <f>+M122*'Parametros Generales'!$C$6*'Parametros Generales'!$J$9</f>
        <v>3895272.7272727285</v>
      </c>
      <c r="AC122" s="417">
        <f>+H122*'Parametros Generales'!$J$10*'Parametros Generales'!$C$6*'Parametros Generales'!$C$11</f>
        <v>14738498.767401624</v>
      </c>
      <c r="AD122" s="417"/>
      <c r="AE122" s="417"/>
      <c r="AF122" s="417"/>
      <c r="AG122" s="417"/>
      <c r="AH122" s="417"/>
      <c r="AI122" s="417"/>
      <c r="AJ122" s="417"/>
      <c r="AK122" s="436"/>
      <c r="AL122" s="822"/>
    </row>
    <row r="123" spans="1:38" s="33" customFormat="1" hidden="1" outlineLevel="1">
      <c r="A123" s="1150"/>
      <c r="B123" s="823">
        <v>5</v>
      </c>
      <c r="C123" s="373" t="str">
        <f t="shared" ref="C123:C143" si="9">+C122</f>
        <v>ANTIOQUIA</v>
      </c>
      <c r="D123" s="374"/>
      <c r="E123" s="1113"/>
      <c r="F123" s="1104"/>
      <c r="G123" s="375"/>
      <c r="H123" s="1062"/>
      <c r="I123" s="1057"/>
      <c r="J123" s="1058"/>
      <c r="K123" s="1070" t="str">
        <f t="shared" si="4"/>
        <v>Ok</v>
      </c>
      <c r="L123" s="1077">
        <f t="shared" si="5"/>
        <v>0</v>
      </c>
      <c r="M123" s="1091">
        <f>+H123/'Parametros Generales'!$C$8</f>
        <v>0</v>
      </c>
      <c r="N123" s="1098"/>
      <c r="O123" s="1098"/>
      <c r="P123" s="1098"/>
      <c r="Q123" s="1098"/>
      <c r="R123" s="1098">
        <f>+(M123/'Parametros Generales'!$C$9)</f>
        <v>0</v>
      </c>
      <c r="S123" s="395"/>
      <c r="T123" s="395"/>
      <c r="U123" s="395"/>
      <c r="V123" s="396"/>
      <c r="W123" s="376">
        <f>+R123*'Componentes T.H.'!$Q$9*'Parametros Generales'!$C$6</f>
        <v>0</v>
      </c>
      <c r="X123" s="376">
        <f>(+VLOOKUP(C123,'Transporte y Viaticos'!$B$87:$L$120,2,0)*'Parametros Generales'!$C$7*R123)*(2/3)</f>
        <v>0</v>
      </c>
      <c r="Y123" s="417"/>
      <c r="Z123" s="417"/>
      <c r="AA123" s="417"/>
      <c r="AB123" s="417">
        <f>+M123*'Parametros Generales'!$C$6*'Parametros Generales'!$J$9</f>
        <v>0</v>
      </c>
      <c r="AC123" s="417">
        <f>+H123*'Parametros Generales'!$J$10*'Parametros Generales'!$C$6*'Parametros Generales'!$C$11</f>
        <v>0</v>
      </c>
      <c r="AD123" s="417"/>
      <c r="AE123" s="417"/>
      <c r="AF123" s="417"/>
      <c r="AG123" s="417"/>
      <c r="AH123" s="417"/>
      <c r="AI123" s="417"/>
      <c r="AJ123" s="417"/>
      <c r="AK123" s="436"/>
      <c r="AL123" s="822"/>
    </row>
    <row r="124" spans="1:38" s="33" customFormat="1" hidden="1" outlineLevel="1">
      <c r="A124" s="1150"/>
      <c r="B124" s="823">
        <v>5</v>
      </c>
      <c r="C124" s="373" t="str">
        <f t="shared" si="9"/>
        <v>ANTIOQUIA</v>
      </c>
      <c r="D124" s="374"/>
      <c r="E124" s="1113"/>
      <c r="F124" s="1104"/>
      <c r="G124" s="375"/>
      <c r="H124" s="1062"/>
      <c r="I124" s="1057"/>
      <c r="J124" s="1058"/>
      <c r="K124" s="1070" t="str">
        <f t="shared" si="4"/>
        <v>Ok</v>
      </c>
      <c r="L124" s="1077">
        <f t="shared" si="5"/>
        <v>0</v>
      </c>
      <c r="M124" s="1091">
        <f>+H124/'Parametros Generales'!$C$8</f>
        <v>0</v>
      </c>
      <c r="N124" s="1098"/>
      <c r="O124" s="1098"/>
      <c r="P124" s="1098"/>
      <c r="Q124" s="1098"/>
      <c r="R124" s="1098">
        <f>+(M124/'Parametros Generales'!$C$9)</f>
        <v>0</v>
      </c>
      <c r="S124" s="395"/>
      <c r="T124" s="395"/>
      <c r="U124" s="395"/>
      <c r="V124" s="396"/>
      <c r="W124" s="376">
        <f>+R124*'Componentes T.H.'!$Q$9*'Parametros Generales'!$C$6</f>
        <v>0</v>
      </c>
      <c r="X124" s="376">
        <f>(+VLOOKUP(C124,'Transporte y Viaticos'!$B$87:$L$120,2,0)*'Parametros Generales'!$C$7*R124)*(2/3)</f>
        <v>0</v>
      </c>
      <c r="Y124" s="417"/>
      <c r="Z124" s="417"/>
      <c r="AA124" s="417"/>
      <c r="AB124" s="417">
        <f>+M124*'Parametros Generales'!$C$6*'Parametros Generales'!$J$9</f>
        <v>0</v>
      </c>
      <c r="AC124" s="417">
        <f>+H124*'Parametros Generales'!$J$10*'Parametros Generales'!$C$6*'Parametros Generales'!$C$11</f>
        <v>0</v>
      </c>
      <c r="AD124" s="417"/>
      <c r="AE124" s="417"/>
      <c r="AF124" s="417"/>
      <c r="AG124" s="417"/>
      <c r="AH124" s="417"/>
      <c r="AI124" s="417"/>
      <c r="AJ124" s="417"/>
      <c r="AK124" s="436"/>
      <c r="AL124" s="822"/>
    </row>
    <row r="125" spans="1:38" s="33" customFormat="1" hidden="1" outlineLevel="1">
      <c r="A125" s="1150"/>
      <c r="B125" s="823">
        <v>5</v>
      </c>
      <c r="C125" s="373" t="str">
        <f t="shared" si="9"/>
        <v>ANTIOQUIA</v>
      </c>
      <c r="D125" s="374"/>
      <c r="E125" s="1113"/>
      <c r="F125" s="1104"/>
      <c r="G125" s="375"/>
      <c r="H125" s="1062"/>
      <c r="I125" s="1057"/>
      <c r="J125" s="1058"/>
      <c r="K125" s="1070" t="str">
        <f t="shared" si="4"/>
        <v>Ok</v>
      </c>
      <c r="L125" s="1077">
        <f t="shared" si="5"/>
        <v>0</v>
      </c>
      <c r="M125" s="1091">
        <f>+H125/'Parametros Generales'!$C$8</f>
        <v>0</v>
      </c>
      <c r="N125" s="1098"/>
      <c r="O125" s="1098"/>
      <c r="P125" s="1098"/>
      <c r="Q125" s="1098"/>
      <c r="R125" s="1098">
        <f>+(M125/'Parametros Generales'!$C$9)</f>
        <v>0</v>
      </c>
      <c r="S125" s="395"/>
      <c r="T125" s="395"/>
      <c r="U125" s="395"/>
      <c r="V125" s="396"/>
      <c r="W125" s="376">
        <f>+R125*'Componentes T.H.'!$Q$9*'Parametros Generales'!$C$6</f>
        <v>0</v>
      </c>
      <c r="X125" s="376">
        <f>(+VLOOKUP(C125,'Transporte y Viaticos'!$B$87:$L$120,2,0)*'Parametros Generales'!$C$7*R125)*(2/3)</f>
        <v>0</v>
      </c>
      <c r="Y125" s="417"/>
      <c r="Z125" s="417"/>
      <c r="AA125" s="417"/>
      <c r="AB125" s="417">
        <f>+M125*'Parametros Generales'!$C$6*'Parametros Generales'!$J$9</f>
        <v>0</v>
      </c>
      <c r="AC125" s="417">
        <f>+H125*'Parametros Generales'!$J$10*'Parametros Generales'!$C$6*'Parametros Generales'!$C$11</f>
        <v>0</v>
      </c>
      <c r="AD125" s="417"/>
      <c r="AE125" s="417"/>
      <c r="AF125" s="417"/>
      <c r="AG125" s="417"/>
      <c r="AH125" s="417"/>
      <c r="AI125" s="417"/>
      <c r="AJ125" s="417"/>
      <c r="AK125" s="436"/>
      <c r="AL125" s="822"/>
    </row>
    <row r="126" spans="1:38" s="33" customFormat="1" hidden="1" outlineLevel="1">
      <c r="A126" s="1150"/>
      <c r="B126" s="823">
        <v>5</v>
      </c>
      <c r="C126" s="373" t="str">
        <f t="shared" si="9"/>
        <v>ANTIOQUIA</v>
      </c>
      <c r="D126" s="374"/>
      <c r="E126" s="1113"/>
      <c r="F126" s="1104"/>
      <c r="G126" s="375"/>
      <c r="H126" s="1062"/>
      <c r="I126" s="1057"/>
      <c r="J126" s="1058"/>
      <c r="K126" s="1070" t="str">
        <f t="shared" si="4"/>
        <v>Ok</v>
      </c>
      <c r="L126" s="1077">
        <f t="shared" si="5"/>
        <v>0</v>
      </c>
      <c r="M126" s="1091">
        <f>+H126/'Parametros Generales'!$C$8</f>
        <v>0</v>
      </c>
      <c r="N126" s="1098"/>
      <c r="O126" s="1098"/>
      <c r="P126" s="1098"/>
      <c r="Q126" s="1098"/>
      <c r="R126" s="1098">
        <f>+(M126/'Parametros Generales'!$C$9)</f>
        <v>0</v>
      </c>
      <c r="S126" s="395"/>
      <c r="T126" s="395"/>
      <c r="U126" s="395"/>
      <c r="V126" s="396"/>
      <c r="W126" s="376">
        <f>+R126*'Componentes T.H.'!$Q$9*'Parametros Generales'!$C$6</f>
        <v>0</v>
      </c>
      <c r="X126" s="376">
        <f>(+VLOOKUP(C126,'Transporte y Viaticos'!$B$87:$L$120,2,0)*'Parametros Generales'!$C$7*R126)*(2/3)</f>
        <v>0</v>
      </c>
      <c r="Y126" s="417"/>
      <c r="Z126" s="417"/>
      <c r="AA126" s="417"/>
      <c r="AB126" s="417">
        <f>+M126*'Parametros Generales'!$C$6*'Parametros Generales'!$J$9</f>
        <v>0</v>
      </c>
      <c r="AC126" s="417">
        <f>+H126*'Parametros Generales'!$J$10*'Parametros Generales'!$C$6*'Parametros Generales'!$C$11</f>
        <v>0</v>
      </c>
      <c r="AD126" s="417"/>
      <c r="AE126" s="417"/>
      <c r="AF126" s="417"/>
      <c r="AG126" s="417"/>
      <c r="AH126" s="417"/>
      <c r="AI126" s="417"/>
      <c r="AJ126" s="417"/>
      <c r="AK126" s="436"/>
      <c r="AL126" s="822"/>
    </row>
    <row r="127" spans="1:38" s="33" customFormat="1" hidden="1" outlineLevel="1">
      <c r="A127" s="1150"/>
      <c r="B127" s="823">
        <v>5</v>
      </c>
      <c r="C127" s="373" t="str">
        <f t="shared" si="9"/>
        <v>ANTIOQUIA</v>
      </c>
      <c r="D127" s="374"/>
      <c r="E127" s="1113"/>
      <c r="F127" s="1104"/>
      <c r="G127" s="375"/>
      <c r="H127" s="1062"/>
      <c r="I127" s="1057"/>
      <c r="J127" s="1058"/>
      <c r="K127" s="1070" t="str">
        <f t="shared" si="4"/>
        <v>Ok</v>
      </c>
      <c r="L127" s="1077">
        <f t="shared" si="5"/>
        <v>0</v>
      </c>
      <c r="M127" s="1091">
        <f>+H127/'Parametros Generales'!$C$8</f>
        <v>0</v>
      </c>
      <c r="N127" s="1098"/>
      <c r="O127" s="1098"/>
      <c r="P127" s="1098"/>
      <c r="Q127" s="1098"/>
      <c r="R127" s="1098">
        <f>+(M127/'Parametros Generales'!$C$9)</f>
        <v>0</v>
      </c>
      <c r="S127" s="395"/>
      <c r="T127" s="395"/>
      <c r="U127" s="395"/>
      <c r="V127" s="396"/>
      <c r="W127" s="376">
        <f>+R127*'Componentes T.H.'!$Q$9*'Parametros Generales'!$C$6</f>
        <v>0</v>
      </c>
      <c r="X127" s="376">
        <f>(+VLOOKUP(C127,'Transporte y Viaticos'!$B$87:$L$120,2,0)*'Parametros Generales'!$C$7*R127)*(2/3)</f>
        <v>0</v>
      </c>
      <c r="Y127" s="417"/>
      <c r="Z127" s="417"/>
      <c r="AA127" s="417"/>
      <c r="AB127" s="417">
        <f>+M127*'Parametros Generales'!$C$6*'Parametros Generales'!$J$9</f>
        <v>0</v>
      </c>
      <c r="AC127" s="417">
        <f>+H127*'Parametros Generales'!$J$10*'Parametros Generales'!$C$6*'Parametros Generales'!$C$11</f>
        <v>0</v>
      </c>
      <c r="AD127" s="417"/>
      <c r="AE127" s="417"/>
      <c r="AF127" s="417"/>
      <c r="AG127" s="417"/>
      <c r="AH127" s="417"/>
      <c r="AI127" s="417"/>
      <c r="AJ127" s="417"/>
      <c r="AK127" s="436"/>
      <c r="AL127" s="822"/>
    </row>
    <row r="128" spans="1:38" s="33" customFormat="1" hidden="1" outlineLevel="1">
      <c r="A128" s="1150"/>
      <c r="B128" s="823">
        <v>5</v>
      </c>
      <c r="C128" s="373" t="str">
        <f t="shared" si="9"/>
        <v>ANTIOQUIA</v>
      </c>
      <c r="D128" s="374"/>
      <c r="E128" s="1113"/>
      <c r="F128" s="1104"/>
      <c r="G128" s="375"/>
      <c r="H128" s="1062"/>
      <c r="I128" s="1057"/>
      <c r="J128" s="1058"/>
      <c r="K128" s="1070" t="str">
        <f t="shared" si="4"/>
        <v>Ok</v>
      </c>
      <c r="L128" s="1077">
        <f t="shared" si="5"/>
        <v>0</v>
      </c>
      <c r="M128" s="1091">
        <f>+H128/'Parametros Generales'!$C$8</f>
        <v>0</v>
      </c>
      <c r="N128" s="1098"/>
      <c r="O128" s="1098"/>
      <c r="P128" s="1098"/>
      <c r="Q128" s="1098"/>
      <c r="R128" s="1098">
        <f>+(M128/'Parametros Generales'!$C$9)</f>
        <v>0</v>
      </c>
      <c r="S128" s="395"/>
      <c r="T128" s="395"/>
      <c r="U128" s="395"/>
      <c r="V128" s="396"/>
      <c r="W128" s="376">
        <f>+R128*'Componentes T.H.'!$Q$9*'Parametros Generales'!$C$6</f>
        <v>0</v>
      </c>
      <c r="X128" s="376">
        <f>(+VLOOKUP(C128,'Transporte y Viaticos'!$B$87:$L$120,2,0)*'Parametros Generales'!$C$7*R128)*(2/3)</f>
        <v>0</v>
      </c>
      <c r="Y128" s="417"/>
      <c r="Z128" s="417"/>
      <c r="AA128" s="417"/>
      <c r="AB128" s="417">
        <f>+M128*'Parametros Generales'!$C$6*'Parametros Generales'!$J$9</f>
        <v>0</v>
      </c>
      <c r="AC128" s="417">
        <f>+H128*'Parametros Generales'!$J$10*'Parametros Generales'!$C$6*'Parametros Generales'!$C$11</f>
        <v>0</v>
      </c>
      <c r="AD128" s="417"/>
      <c r="AE128" s="417"/>
      <c r="AF128" s="417"/>
      <c r="AG128" s="417"/>
      <c r="AH128" s="417"/>
      <c r="AI128" s="417"/>
      <c r="AJ128" s="417"/>
      <c r="AK128" s="436"/>
      <c r="AL128" s="822"/>
    </row>
    <row r="129" spans="1:38" s="33" customFormat="1" hidden="1" outlineLevel="1">
      <c r="A129" s="1150"/>
      <c r="B129" s="823">
        <v>5</v>
      </c>
      <c r="C129" s="373" t="str">
        <f t="shared" si="9"/>
        <v>ANTIOQUIA</v>
      </c>
      <c r="D129" s="374"/>
      <c r="E129" s="1113"/>
      <c r="F129" s="1104"/>
      <c r="G129" s="375"/>
      <c r="H129" s="1062"/>
      <c r="I129" s="1057"/>
      <c r="J129" s="1058"/>
      <c r="K129" s="1070" t="str">
        <f t="shared" si="4"/>
        <v>Ok</v>
      </c>
      <c r="L129" s="1077">
        <f t="shared" si="5"/>
        <v>0</v>
      </c>
      <c r="M129" s="1091">
        <f>+H129/'Parametros Generales'!$C$8</f>
        <v>0</v>
      </c>
      <c r="N129" s="1098"/>
      <c r="O129" s="1098"/>
      <c r="P129" s="1098"/>
      <c r="Q129" s="1098"/>
      <c r="R129" s="1098">
        <f>+(M129/'Parametros Generales'!$C$9)</f>
        <v>0</v>
      </c>
      <c r="S129" s="395"/>
      <c r="T129" s="395"/>
      <c r="U129" s="395"/>
      <c r="V129" s="396"/>
      <c r="W129" s="376">
        <f>+R129*'Componentes T.H.'!$Q$9*'Parametros Generales'!$C$6</f>
        <v>0</v>
      </c>
      <c r="X129" s="376">
        <f>(+VLOOKUP(C129,'Transporte y Viaticos'!$B$87:$L$120,2,0)*'Parametros Generales'!$C$7*R129)*(2/3)</f>
        <v>0</v>
      </c>
      <c r="Y129" s="417"/>
      <c r="Z129" s="417"/>
      <c r="AA129" s="417"/>
      <c r="AB129" s="417">
        <f>+M129*'Parametros Generales'!$C$6*'Parametros Generales'!$J$9</f>
        <v>0</v>
      </c>
      <c r="AC129" s="417">
        <f>+H129*'Parametros Generales'!$J$10*'Parametros Generales'!$C$6*'Parametros Generales'!$C$11</f>
        <v>0</v>
      </c>
      <c r="AD129" s="417"/>
      <c r="AE129" s="417"/>
      <c r="AF129" s="417"/>
      <c r="AG129" s="417"/>
      <c r="AH129" s="417"/>
      <c r="AI129" s="417"/>
      <c r="AJ129" s="417"/>
      <c r="AK129" s="436"/>
      <c r="AL129" s="822"/>
    </row>
    <row r="130" spans="1:38" s="33" customFormat="1" hidden="1" outlineLevel="1">
      <c r="A130" s="1150"/>
      <c r="B130" s="823">
        <v>5</v>
      </c>
      <c r="C130" s="373" t="str">
        <f t="shared" si="9"/>
        <v>ANTIOQUIA</v>
      </c>
      <c r="D130" s="374"/>
      <c r="E130" s="1113"/>
      <c r="F130" s="1104"/>
      <c r="G130" s="375"/>
      <c r="H130" s="1062"/>
      <c r="I130" s="1057"/>
      <c r="J130" s="1058"/>
      <c r="K130" s="1070" t="str">
        <f t="shared" ref="K130:K193" si="10">+IF(I130=E130,"Ok","Rev")</f>
        <v>Ok</v>
      </c>
      <c r="L130" s="1077">
        <f t="shared" ref="L130:L193" si="11">+J130-H130</f>
        <v>0</v>
      </c>
      <c r="M130" s="1091">
        <f>+H130/'Parametros Generales'!$C$8</f>
        <v>0</v>
      </c>
      <c r="N130" s="1098"/>
      <c r="O130" s="1098"/>
      <c r="P130" s="1098"/>
      <c r="Q130" s="1098"/>
      <c r="R130" s="1098">
        <f>+(M130/'Parametros Generales'!$C$9)</f>
        <v>0</v>
      </c>
      <c r="S130" s="395"/>
      <c r="T130" s="395"/>
      <c r="U130" s="395"/>
      <c r="V130" s="396"/>
      <c r="W130" s="376">
        <f>+R130*'Componentes T.H.'!$Q$9*'Parametros Generales'!$C$6</f>
        <v>0</v>
      </c>
      <c r="X130" s="376">
        <f>(+VLOOKUP(C130,'Transporte y Viaticos'!$B$87:$L$120,2,0)*'Parametros Generales'!$C$7*R130)*(2/3)</f>
        <v>0</v>
      </c>
      <c r="Y130" s="417"/>
      <c r="Z130" s="417"/>
      <c r="AA130" s="417"/>
      <c r="AB130" s="417">
        <f>+M130*'Parametros Generales'!$C$6*'Parametros Generales'!$J$9</f>
        <v>0</v>
      </c>
      <c r="AC130" s="417">
        <f>+H130*'Parametros Generales'!$J$10*'Parametros Generales'!$C$6*'Parametros Generales'!$C$11</f>
        <v>0</v>
      </c>
      <c r="AD130" s="417"/>
      <c r="AE130" s="417"/>
      <c r="AF130" s="417"/>
      <c r="AG130" s="417"/>
      <c r="AH130" s="417"/>
      <c r="AI130" s="417"/>
      <c r="AJ130" s="417"/>
      <c r="AK130" s="436"/>
      <c r="AL130" s="822"/>
    </row>
    <row r="131" spans="1:38" s="33" customFormat="1" hidden="1" outlineLevel="1">
      <c r="A131" s="1150"/>
      <c r="B131" s="823">
        <v>5</v>
      </c>
      <c r="C131" s="373" t="str">
        <f t="shared" si="9"/>
        <v>ANTIOQUIA</v>
      </c>
      <c r="D131" s="374"/>
      <c r="E131" s="1113"/>
      <c r="F131" s="1104"/>
      <c r="G131" s="375"/>
      <c r="H131" s="1062"/>
      <c r="I131" s="1057"/>
      <c r="J131" s="1058"/>
      <c r="K131" s="1070" t="str">
        <f t="shared" si="10"/>
        <v>Ok</v>
      </c>
      <c r="L131" s="1077">
        <f t="shared" si="11"/>
        <v>0</v>
      </c>
      <c r="M131" s="1091">
        <f>+H131/'Parametros Generales'!$C$8</f>
        <v>0</v>
      </c>
      <c r="N131" s="1098"/>
      <c r="O131" s="1098"/>
      <c r="P131" s="1098"/>
      <c r="Q131" s="1098"/>
      <c r="R131" s="1098">
        <f>+(M131/'Parametros Generales'!$C$9)</f>
        <v>0</v>
      </c>
      <c r="S131" s="395"/>
      <c r="T131" s="395"/>
      <c r="U131" s="395"/>
      <c r="V131" s="396"/>
      <c r="W131" s="376">
        <f>+R131*'Componentes T.H.'!$Q$9*'Parametros Generales'!$C$6</f>
        <v>0</v>
      </c>
      <c r="X131" s="376">
        <f>(+VLOOKUP(C131,'Transporte y Viaticos'!$B$87:$L$120,2,0)*'Parametros Generales'!$C$7*R131)*(2/3)</f>
        <v>0</v>
      </c>
      <c r="Y131" s="417"/>
      <c r="Z131" s="417"/>
      <c r="AA131" s="417"/>
      <c r="AB131" s="417">
        <f>+M131*'Parametros Generales'!$C$6*'Parametros Generales'!$J$9</f>
        <v>0</v>
      </c>
      <c r="AC131" s="417">
        <f>+H131*'Parametros Generales'!$J$10*'Parametros Generales'!$C$6*'Parametros Generales'!$C$11</f>
        <v>0</v>
      </c>
      <c r="AD131" s="417"/>
      <c r="AE131" s="417"/>
      <c r="AF131" s="417"/>
      <c r="AG131" s="417"/>
      <c r="AH131" s="417"/>
      <c r="AI131" s="417"/>
      <c r="AJ131" s="417"/>
      <c r="AK131" s="436"/>
      <c r="AL131" s="822"/>
    </row>
    <row r="132" spans="1:38" s="33" customFormat="1" hidden="1" outlineLevel="1">
      <c r="A132" s="1150"/>
      <c r="B132" s="823">
        <v>5</v>
      </c>
      <c r="C132" s="373" t="str">
        <f t="shared" si="9"/>
        <v>ANTIOQUIA</v>
      </c>
      <c r="D132" s="374"/>
      <c r="E132" s="1113"/>
      <c r="F132" s="1104"/>
      <c r="G132" s="375"/>
      <c r="H132" s="1062"/>
      <c r="I132" s="1057"/>
      <c r="J132" s="1058"/>
      <c r="K132" s="1070" t="str">
        <f t="shared" si="10"/>
        <v>Ok</v>
      </c>
      <c r="L132" s="1077">
        <f t="shared" si="11"/>
        <v>0</v>
      </c>
      <c r="M132" s="1091">
        <f>+H132/'Parametros Generales'!$C$8</f>
        <v>0</v>
      </c>
      <c r="N132" s="1098"/>
      <c r="O132" s="1098"/>
      <c r="P132" s="1098"/>
      <c r="Q132" s="1098"/>
      <c r="R132" s="1098">
        <f>+(M132/'Parametros Generales'!$C$9)</f>
        <v>0</v>
      </c>
      <c r="S132" s="395"/>
      <c r="T132" s="395"/>
      <c r="U132" s="395"/>
      <c r="V132" s="396"/>
      <c r="W132" s="376">
        <f>+R132*'Componentes T.H.'!$Q$9*'Parametros Generales'!$C$6</f>
        <v>0</v>
      </c>
      <c r="X132" s="376">
        <f>(+VLOOKUP(C132,'Transporte y Viaticos'!$B$87:$L$120,2,0)*'Parametros Generales'!$C$7*R132)*(2/3)</f>
        <v>0</v>
      </c>
      <c r="Y132" s="417"/>
      <c r="Z132" s="417"/>
      <c r="AA132" s="417"/>
      <c r="AB132" s="417">
        <f>+M132*'Parametros Generales'!$C$6*'Parametros Generales'!$J$9</f>
        <v>0</v>
      </c>
      <c r="AC132" s="417">
        <f>+H132*'Parametros Generales'!$J$10*'Parametros Generales'!$C$6*'Parametros Generales'!$C$11</f>
        <v>0</v>
      </c>
      <c r="AD132" s="417"/>
      <c r="AE132" s="417"/>
      <c r="AF132" s="417"/>
      <c r="AG132" s="417"/>
      <c r="AH132" s="417"/>
      <c r="AI132" s="417"/>
      <c r="AJ132" s="417"/>
      <c r="AK132" s="436"/>
      <c r="AL132" s="822"/>
    </row>
    <row r="133" spans="1:38" s="33" customFormat="1" hidden="1" outlineLevel="1">
      <c r="A133" s="1150"/>
      <c r="B133" s="823">
        <v>5</v>
      </c>
      <c r="C133" s="373" t="str">
        <f t="shared" si="9"/>
        <v>ANTIOQUIA</v>
      </c>
      <c r="D133" s="374"/>
      <c r="E133" s="1113"/>
      <c r="F133" s="1104"/>
      <c r="G133" s="375"/>
      <c r="H133" s="1062"/>
      <c r="I133" s="1057"/>
      <c r="J133" s="1058"/>
      <c r="K133" s="1070" t="str">
        <f t="shared" si="10"/>
        <v>Ok</v>
      </c>
      <c r="L133" s="1077">
        <f t="shared" si="11"/>
        <v>0</v>
      </c>
      <c r="M133" s="1091">
        <f>+H133/'Parametros Generales'!$C$8</f>
        <v>0</v>
      </c>
      <c r="N133" s="1098"/>
      <c r="O133" s="1098"/>
      <c r="P133" s="1098"/>
      <c r="Q133" s="1098"/>
      <c r="R133" s="1098">
        <f>+(M133/'Parametros Generales'!$C$9)</f>
        <v>0</v>
      </c>
      <c r="S133" s="395"/>
      <c r="T133" s="395"/>
      <c r="U133" s="395"/>
      <c r="V133" s="396"/>
      <c r="W133" s="376">
        <f>+R133*'Componentes T.H.'!$Q$9*'Parametros Generales'!$C$6</f>
        <v>0</v>
      </c>
      <c r="X133" s="376">
        <f>(+VLOOKUP(C133,'Transporte y Viaticos'!$B$87:$L$120,2,0)*'Parametros Generales'!$C$7*R133)*(2/3)</f>
        <v>0</v>
      </c>
      <c r="Y133" s="417"/>
      <c r="Z133" s="417"/>
      <c r="AA133" s="417"/>
      <c r="AB133" s="417">
        <f>+M133*'Parametros Generales'!$C$6*'Parametros Generales'!$J$9</f>
        <v>0</v>
      </c>
      <c r="AC133" s="417">
        <f>+H133*'Parametros Generales'!$J$10*'Parametros Generales'!$C$6*'Parametros Generales'!$C$11</f>
        <v>0</v>
      </c>
      <c r="AD133" s="417"/>
      <c r="AE133" s="417"/>
      <c r="AF133" s="417"/>
      <c r="AG133" s="417"/>
      <c r="AH133" s="417"/>
      <c r="AI133" s="417"/>
      <c r="AJ133" s="417"/>
      <c r="AK133" s="436"/>
      <c r="AL133" s="822"/>
    </row>
    <row r="134" spans="1:38" s="33" customFormat="1" hidden="1" outlineLevel="1">
      <c r="A134" s="1150"/>
      <c r="B134" s="823">
        <v>5</v>
      </c>
      <c r="C134" s="373" t="str">
        <f t="shared" si="9"/>
        <v>ANTIOQUIA</v>
      </c>
      <c r="D134" s="374"/>
      <c r="E134" s="1113"/>
      <c r="F134" s="1104"/>
      <c r="G134" s="375"/>
      <c r="H134" s="1062"/>
      <c r="I134" s="1057"/>
      <c r="J134" s="1058"/>
      <c r="K134" s="1070" t="str">
        <f t="shared" si="10"/>
        <v>Ok</v>
      </c>
      <c r="L134" s="1077">
        <f t="shared" si="11"/>
        <v>0</v>
      </c>
      <c r="M134" s="1091">
        <f>+H134/'Parametros Generales'!$C$8</f>
        <v>0</v>
      </c>
      <c r="N134" s="1098"/>
      <c r="O134" s="1098"/>
      <c r="P134" s="1098"/>
      <c r="Q134" s="1098"/>
      <c r="R134" s="1098">
        <f>+(M134/'Parametros Generales'!$C$9)</f>
        <v>0</v>
      </c>
      <c r="S134" s="395"/>
      <c r="T134" s="395"/>
      <c r="U134" s="395"/>
      <c r="V134" s="396"/>
      <c r="W134" s="376">
        <f>+R134*'Componentes T.H.'!$Q$9*'Parametros Generales'!$C$6</f>
        <v>0</v>
      </c>
      <c r="X134" s="376">
        <f>(+VLOOKUP(C134,'Transporte y Viaticos'!$B$87:$L$120,2,0)*'Parametros Generales'!$C$7*R134)*(2/3)</f>
        <v>0</v>
      </c>
      <c r="Y134" s="417"/>
      <c r="Z134" s="417"/>
      <c r="AA134" s="417"/>
      <c r="AB134" s="417">
        <f>+M134*'Parametros Generales'!$C$6*'Parametros Generales'!$J$9</f>
        <v>0</v>
      </c>
      <c r="AC134" s="417">
        <f>+H134*'Parametros Generales'!$J$10*'Parametros Generales'!$C$6*'Parametros Generales'!$C$11</f>
        <v>0</v>
      </c>
      <c r="AD134" s="417"/>
      <c r="AE134" s="417"/>
      <c r="AF134" s="417"/>
      <c r="AG134" s="417"/>
      <c r="AH134" s="417"/>
      <c r="AI134" s="417"/>
      <c r="AJ134" s="417"/>
      <c r="AK134" s="436"/>
      <c r="AL134" s="822"/>
    </row>
    <row r="135" spans="1:38" s="33" customFormat="1" hidden="1" outlineLevel="1">
      <c r="A135" s="1150"/>
      <c r="B135" s="823">
        <v>5</v>
      </c>
      <c r="C135" s="373" t="str">
        <f t="shared" si="9"/>
        <v>ANTIOQUIA</v>
      </c>
      <c r="D135" s="374"/>
      <c r="E135" s="1113"/>
      <c r="F135" s="1104"/>
      <c r="G135" s="375"/>
      <c r="H135" s="1062"/>
      <c r="I135" s="1057"/>
      <c r="J135" s="1058"/>
      <c r="K135" s="1070" t="str">
        <f t="shared" si="10"/>
        <v>Ok</v>
      </c>
      <c r="L135" s="1077">
        <f t="shared" si="11"/>
        <v>0</v>
      </c>
      <c r="M135" s="1091">
        <f>+H135/'Parametros Generales'!$C$8</f>
        <v>0</v>
      </c>
      <c r="N135" s="1098"/>
      <c r="O135" s="1098"/>
      <c r="P135" s="1098"/>
      <c r="Q135" s="1098"/>
      <c r="R135" s="1098">
        <f>+(M135/'Parametros Generales'!$C$9)</f>
        <v>0</v>
      </c>
      <c r="S135" s="395"/>
      <c r="T135" s="395"/>
      <c r="U135" s="395"/>
      <c r="V135" s="396"/>
      <c r="W135" s="376">
        <f>+R135*'Componentes T.H.'!$Q$9*'Parametros Generales'!$C$6</f>
        <v>0</v>
      </c>
      <c r="X135" s="376">
        <f>(+VLOOKUP(C135,'Transporte y Viaticos'!$B$87:$L$120,2,0)*'Parametros Generales'!$C$7*R135)*(2/3)</f>
        <v>0</v>
      </c>
      <c r="Y135" s="417"/>
      <c r="Z135" s="417"/>
      <c r="AA135" s="417"/>
      <c r="AB135" s="417">
        <f>+M135*'Parametros Generales'!$C$6*'Parametros Generales'!$J$9</f>
        <v>0</v>
      </c>
      <c r="AC135" s="417">
        <f>+H135*'Parametros Generales'!$J$10*'Parametros Generales'!$C$6*'Parametros Generales'!$C$11</f>
        <v>0</v>
      </c>
      <c r="AD135" s="417"/>
      <c r="AE135" s="417"/>
      <c r="AF135" s="417"/>
      <c r="AG135" s="417"/>
      <c r="AH135" s="417"/>
      <c r="AI135" s="417"/>
      <c r="AJ135" s="417"/>
      <c r="AK135" s="436"/>
      <c r="AL135" s="822"/>
    </row>
    <row r="136" spans="1:38" s="33" customFormat="1" hidden="1" outlineLevel="1">
      <c r="A136" s="1150"/>
      <c r="B136" s="823">
        <v>5</v>
      </c>
      <c r="C136" s="373" t="str">
        <f t="shared" si="9"/>
        <v>ANTIOQUIA</v>
      </c>
      <c r="D136" s="374"/>
      <c r="E136" s="1113"/>
      <c r="F136" s="1104"/>
      <c r="G136" s="375"/>
      <c r="H136" s="1062"/>
      <c r="I136" s="1057"/>
      <c r="J136" s="1058"/>
      <c r="K136" s="1070" t="str">
        <f t="shared" si="10"/>
        <v>Ok</v>
      </c>
      <c r="L136" s="1077">
        <f t="shared" si="11"/>
        <v>0</v>
      </c>
      <c r="M136" s="1091">
        <f>+H136/'Parametros Generales'!$C$8</f>
        <v>0</v>
      </c>
      <c r="N136" s="1098"/>
      <c r="O136" s="1098"/>
      <c r="P136" s="1098"/>
      <c r="Q136" s="1098"/>
      <c r="R136" s="1098">
        <f>+(M136/'Parametros Generales'!$C$9)</f>
        <v>0</v>
      </c>
      <c r="S136" s="395"/>
      <c r="T136" s="395"/>
      <c r="U136" s="395"/>
      <c r="V136" s="396"/>
      <c r="W136" s="376">
        <f>+R136*'Componentes T.H.'!$Q$9*'Parametros Generales'!$C$6</f>
        <v>0</v>
      </c>
      <c r="X136" s="376">
        <f>(+VLOOKUP(C136,'Transporte y Viaticos'!$B$87:$L$120,2,0)*'Parametros Generales'!$C$7*R136)*(2/3)</f>
        <v>0</v>
      </c>
      <c r="Y136" s="417"/>
      <c r="Z136" s="417"/>
      <c r="AA136" s="417"/>
      <c r="AB136" s="417">
        <f>+M136*'Parametros Generales'!$C$6*'Parametros Generales'!$J$9</f>
        <v>0</v>
      </c>
      <c r="AC136" s="417">
        <f>+H136*'Parametros Generales'!$J$10*'Parametros Generales'!$C$6*'Parametros Generales'!$C$11</f>
        <v>0</v>
      </c>
      <c r="AD136" s="417"/>
      <c r="AE136" s="417"/>
      <c r="AF136" s="417"/>
      <c r="AG136" s="417"/>
      <c r="AH136" s="417"/>
      <c r="AI136" s="417"/>
      <c r="AJ136" s="417"/>
      <c r="AK136" s="436"/>
      <c r="AL136" s="822"/>
    </row>
    <row r="137" spans="1:38" s="33" customFormat="1" hidden="1" outlineLevel="1">
      <c r="A137" s="1150"/>
      <c r="B137" s="823">
        <v>5</v>
      </c>
      <c r="C137" s="373" t="str">
        <f t="shared" si="9"/>
        <v>ANTIOQUIA</v>
      </c>
      <c r="D137" s="374"/>
      <c r="E137" s="1113"/>
      <c r="F137" s="1104"/>
      <c r="G137" s="375"/>
      <c r="H137" s="1062"/>
      <c r="I137" s="1057"/>
      <c r="J137" s="1058"/>
      <c r="K137" s="1070" t="str">
        <f t="shared" si="10"/>
        <v>Ok</v>
      </c>
      <c r="L137" s="1077">
        <f t="shared" si="11"/>
        <v>0</v>
      </c>
      <c r="M137" s="1091">
        <f>+H137/'Parametros Generales'!$C$8</f>
        <v>0</v>
      </c>
      <c r="N137" s="1098"/>
      <c r="O137" s="1098"/>
      <c r="P137" s="1098"/>
      <c r="Q137" s="1098"/>
      <c r="R137" s="1098">
        <f>+(M137/'Parametros Generales'!$C$9)</f>
        <v>0</v>
      </c>
      <c r="S137" s="395"/>
      <c r="T137" s="395"/>
      <c r="U137" s="395"/>
      <c r="V137" s="396"/>
      <c r="W137" s="376">
        <f>+R137*'Componentes T.H.'!$Q$9*'Parametros Generales'!$C$6</f>
        <v>0</v>
      </c>
      <c r="X137" s="376">
        <f>(+VLOOKUP(C137,'Transporte y Viaticos'!$B$87:$L$120,2,0)*'Parametros Generales'!$C$7*R137)*(2/3)</f>
        <v>0</v>
      </c>
      <c r="Y137" s="417"/>
      <c r="Z137" s="417"/>
      <c r="AA137" s="417"/>
      <c r="AB137" s="417">
        <f>+M137*'Parametros Generales'!$C$6*'Parametros Generales'!$J$9</f>
        <v>0</v>
      </c>
      <c r="AC137" s="417">
        <f>+H137*'Parametros Generales'!$J$10*'Parametros Generales'!$C$6*'Parametros Generales'!$C$11</f>
        <v>0</v>
      </c>
      <c r="AD137" s="417"/>
      <c r="AE137" s="417"/>
      <c r="AF137" s="417"/>
      <c r="AG137" s="417"/>
      <c r="AH137" s="417"/>
      <c r="AI137" s="417"/>
      <c r="AJ137" s="417"/>
      <c r="AK137" s="436"/>
      <c r="AL137" s="822"/>
    </row>
    <row r="138" spans="1:38" s="33" customFormat="1" hidden="1" outlineLevel="1">
      <c r="A138" s="1150"/>
      <c r="B138" s="823">
        <v>5</v>
      </c>
      <c r="C138" s="373" t="str">
        <f t="shared" si="9"/>
        <v>ANTIOQUIA</v>
      </c>
      <c r="D138" s="374"/>
      <c r="E138" s="1113"/>
      <c r="F138" s="1104"/>
      <c r="G138" s="375"/>
      <c r="H138" s="1062"/>
      <c r="I138" s="1057"/>
      <c r="J138" s="1058"/>
      <c r="K138" s="1070" t="str">
        <f t="shared" si="10"/>
        <v>Ok</v>
      </c>
      <c r="L138" s="1077">
        <f t="shared" si="11"/>
        <v>0</v>
      </c>
      <c r="M138" s="1091">
        <f>+H138/'Parametros Generales'!$C$8</f>
        <v>0</v>
      </c>
      <c r="N138" s="1098"/>
      <c r="O138" s="1098"/>
      <c r="P138" s="1098"/>
      <c r="Q138" s="1098"/>
      <c r="R138" s="1098">
        <f>+(M138/'Parametros Generales'!$C$9)</f>
        <v>0</v>
      </c>
      <c r="S138" s="395"/>
      <c r="T138" s="395"/>
      <c r="U138" s="395"/>
      <c r="V138" s="396"/>
      <c r="W138" s="376">
        <f>+R138*'Componentes T.H.'!$Q$9*'Parametros Generales'!$C$6</f>
        <v>0</v>
      </c>
      <c r="X138" s="376">
        <f>(+VLOOKUP(C138,'Transporte y Viaticos'!$B$87:$L$120,2,0)*'Parametros Generales'!$C$7*R138)*(2/3)</f>
        <v>0</v>
      </c>
      <c r="Y138" s="417"/>
      <c r="Z138" s="417"/>
      <c r="AA138" s="417"/>
      <c r="AB138" s="417">
        <f>+M138*'Parametros Generales'!$C$6*'Parametros Generales'!$J$9</f>
        <v>0</v>
      </c>
      <c r="AC138" s="417">
        <f>+H138*'Parametros Generales'!$J$10*'Parametros Generales'!$C$6*'Parametros Generales'!$C$11</f>
        <v>0</v>
      </c>
      <c r="AD138" s="417"/>
      <c r="AE138" s="417"/>
      <c r="AF138" s="417"/>
      <c r="AG138" s="417"/>
      <c r="AH138" s="417"/>
      <c r="AI138" s="417"/>
      <c r="AJ138" s="417"/>
      <c r="AK138" s="436"/>
      <c r="AL138" s="822"/>
    </row>
    <row r="139" spans="1:38" s="33" customFormat="1" hidden="1" outlineLevel="1">
      <c r="A139" s="1150"/>
      <c r="B139" s="823">
        <v>5</v>
      </c>
      <c r="C139" s="373" t="str">
        <f t="shared" si="9"/>
        <v>ANTIOQUIA</v>
      </c>
      <c r="D139" s="374"/>
      <c r="E139" s="1113"/>
      <c r="F139" s="1104"/>
      <c r="G139" s="375"/>
      <c r="H139" s="1062"/>
      <c r="I139" s="1057"/>
      <c r="J139" s="1058"/>
      <c r="K139" s="1070" t="str">
        <f t="shared" si="10"/>
        <v>Ok</v>
      </c>
      <c r="L139" s="1077">
        <f t="shared" si="11"/>
        <v>0</v>
      </c>
      <c r="M139" s="1091">
        <f>+H139/'Parametros Generales'!$C$8</f>
        <v>0</v>
      </c>
      <c r="N139" s="1098"/>
      <c r="O139" s="1098"/>
      <c r="P139" s="1098"/>
      <c r="Q139" s="1098"/>
      <c r="R139" s="1098">
        <f>+(M139/'Parametros Generales'!$C$9)</f>
        <v>0</v>
      </c>
      <c r="S139" s="395"/>
      <c r="T139" s="395"/>
      <c r="U139" s="395"/>
      <c r="V139" s="396"/>
      <c r="W139" s="376">
        <f>+R139*'Componentes T.H.'!$Q$9*'Parametros Generales'!$C$6</f>
        <v>0</v>
      </c>
      <c r="X139" s="376">
        <f>(+VLOOKUP(C139,'Transporte y Viaticos'!$B$87:$L$120,2,0)*'Parametros Generales'!$C$7*R139)*(2/3)</f>
        <v>0</v>
      </c>
      <c r="Y139" s="417"/>
      <c r="Z139" s="417"/>
      <c r="AA139" s="417"/>
      <c r="AB139" s="417">
        <f>+M139*'Parametros Generales'!$C$6*'Parametros Generales'!$J$9</f>
        <v>0</v>
      </c>
      <c r="AC139" s="417">
        <f>+H139*'Parametros Generales'!$J$10*'Parametros Generales'!$C$6*'Parametros Generales'!$C$11</f>
        <v>0</v>
      </c>
      <c r="AD139" s="417"/>
      <c r="AE139" s="417"/>
      <c r="AF139" s="417"/>
      <c r="AG139" s="417"/>
      <c r="AH139" s="417"/>
      <c r="AI139" s="417"/>
      <c r="AJ139" s="417"/>
      <c r="AK139" s="436"/>
      <c r="AL139" s="822"/>
    </row>
    <row r="140" spans="1:38" s="33" customFormat="1" hidden="1" outlineLevel="1">
      <c r="A140" s="1150"/>
      <c r="B140" s="823">
        <v>5</v>
      </c>
      <c r="C140" s="373" t="str">
        <f t="shared" si="9"/>
        <v>ANTIOQUIA</v>
      </c>
      <c r="D140" s="374"/>
      <c r="E140" s="1113"/>
      <c r="F140" s="1104"/>
      <c r="G140" s="375"/>
      <c r="H140" s="1062"/>
      <c r="I140" s="1057"/>
      <c r="J140" s="1058"/>
      <c r="K140" s="1070" t="str">
        <f t="shared" si="10"/>
        <v>Ok</v>
      </c>
      <c r="L140" s="1077">
        <f t="shared" si="11"/>
        <v>0</v>
      </c>
      <c r="M140" s="1091">
        <f>+H140/'Parametros Generales'!$C$8</f>
        <v>0</v>
      </c>
      <c r="N140" s="1098"/>
      <c r="O140" s="1098"/>
      <c r="P140" s="1098"/>
      <c r="Q140" s="1098"/>
      <c r="R140" s="1098">
        <f>+(M140/'Parametros Generales'!$C$9)</f>
        <v>0</v>
      </c>
      <c r="S140" s="395"/>
      <c r="T140" s="395"/>
      <c r="U140" s="395"/>
      <c r="V140" s="396"/>
      <c r="W140" s="376">
        <f>+R140*'Componentes T.H.'!$Q$9*'Parametros Generales'!$C$6</f>
        <v>0</v>
      </c>
      <c r="X140" s="376">
        <f>(+VLOOKUP(C140,'Transporte y Viaticos'!$B$87:$L$120,2,0)*'Parametros Generales'!$C$7*R140)*(2/3)</f>
        <v>0</v>
      </c>
      <c r="Y140" s="417"/>
      <c r="Z140" s="417"/>
      <c r="AA140" s="417"/>
      <c r="AB140" s="417">
        <f>+M140*'Parametros Generales'!$C$6*'Parametros Generales'!$J$9</f>
        <v>0</v>
      </c>
      <c r="AC140" s="417">
        <f>+H140*'Parametros Generales'!$J$10*'Parametros Generales'!$C$6*'Parametros Generales'!$C$11</f>
        <v>0</v>
      </c>
      <c r="AD140" s="417"/>
      <c r="AE140" s="417"/>
      <c r="AF140" s="417"/>
      <c r="AG140" s="417"/>
      <c r="AH140" s="417"/>
      <c r="AI140" s="417"/>
      <c r="AJ140" s="417"/>
      <c r="AK140" s="436"/>
      <c r="AL140" s="822"/>
    </row>
    <row r="141" spans="1:38" s="33" customFormat="1" hidden="1" outlineLevel="1">
      <c r="A141" s="1150"/>
      <c r="B141" s="823">
        <v>5</v>
      </c>
      <c r="C141" s="373" t="str">
        <f t="shared" si="9"/>
        <v>ANTIOQUIA</v>
      </c>
      <c r="D141" s="374"/>
      <c r="E141" s="1113"/>
      <c r="F141" s="1104"/>
      <c r="G141" s="375"/>
      <c r="H141" s="1062"/>
      <c r="I141" s="1057"/>
      <c r="J141" s="1058"/>
      <c r="K141" s="1070" t="str">
        <f t="shared" si="10"/>
        <v>Ok</v>
      </c>
      <c r="L141" s="1077">
        <f t="shared" si="11"/>
        <v>0</v>
      </c>
      <c r="M141" s="1091">
        <f>+H141/'Parametros Generales'!$C$8</f>
        <v>0</v>
      </c>
      <c r="N141" s="1098"/>
      <c r="O141" s="1098"/>
      <c r="P141" s="1098"/>
      <c r="Q141" s="1098"/>
      <c r="R141" s="1098">
        <f>+(M141/'Parametros Generales'!$C$9)</f>
        <v>0</v>
      </c>
      <c r="S141" s="395"/>
      <c r="T141" s="395"/>
      <c r="U141" s="395"/>
      <c r="V141" s="396"/>
      <c r="W141" s="376">
        <f>+R141*'Componentes T.H.'!$Q$9*'Parametros Generales'!$C$6</f>
        <v>0</v>
      </c>
      <c r="X141" s="376">
        <f>(+VLOOKUP(C141,'Transporte y Viaticos'!$B$87:$L$120,2,0)*'Parametros Generales'!$C$7*R141)*(2/3)</f>
        <v>0</v>
      </c>
      <c r="Y141" s="417"/>
      <c r="Z141" s="417"/>
      <c r="AA141" s="417"/>
      <c r="AB141" s="417">
        <f>+M141*'Parametros Generales'!$C$6*'Parametros Generales'!$J$9</f>
        <v>0</v>
      </c>
      <c r="AC141" s="417">
        <f>+H141*'Parametros Generales'!$J$10*'Parametros Generales'!$C$6*'Parametros Generales'!$C$11</f>
        <v>0</v>
      </c>
      <c r="AD141" s="417"/>
      <c r="AE141" s="417"/>
      <c r="AF141" s="417"/>
      <c r="AG141" s="417"/>
      <c r="AH141" s="417"/>
      <c r="AI141" s="417"/>
      <c r="AJ141" s="417"/>
      <c r="AK141" s="436"/>
      <c r="AL141" s="822"/>
    </row>
    <row r="142" spans="1:38" s="33" customFormat="1" hidden="1" outlineLevel="1">
      <c r="A142" s="1150"/>
      <c r="B142" s="823">
        <v>5</v>
      </c>
      <c r="C142" s="373" t="str">
        <f t="shared" si="9"/>
        <v>ANTIOQUIA</v>
      </c>
      <c r="D142" s="374"/>
      <c r="E142" s="1113"/>
      <c r="F142" s="1104"/>
      <c r="G142" s="375"/>
      <c r="H142" s="1062"/>
      <c r="I142" s="1057"/>
      <c r="J142" s="1058"/>
      <c r="K142" s="1070" t="str">
        <f t="shared" si="10"/>
        <v>Ok</v>
      </c>
      <c r="L142" s="1077">
        <f t="shared" si="11"/>
        <v>0</v>
      </c>
      <c r="M142" s="1091">
        <f>+H142/'Parametros Generales'!$C$8</f>
        <v>0</v>
      </c>
      <c r="N142" s="1098"/>
      <c r="O142" s="1098"/>
      <c r="P142" s="1098"/>
      <c r="Q142" s="1098"/>
      <c r="R142" s="1098">
        <f>+(M142/'Parametros Generales'!$C$9)</f>
        <v>0</v>
      </c>
      <c r="S142" s="395"/>
      <c r="T142" s="395"/>
      <c r="U142" s="395"/>
      <c r="V142" s="396"/>
      <c r="W142" s="376">
        <f>+R142*'Componentes T.H.'!$Q$9*'Parametros Generales'!$C$6</f>
        <v>0</v>
      </c>
      <c r="X142" s="376">
        <f>(+VLOOKUP(C142,'Transporte y Viaticos'!$B$87:$L$120,2,0)*'Parametros Generales'!$C$7*R142)*(2/3)</f>
        <v>0</v>
      </c>
      <c r="Y142" s="417"/>
      <c r="Z142" s="417"/>
      <c r="AA142" s="417"/>
      <c r="AB142" s="417">
        <f>+M142*'Parametros Generales'!$C$6*'Parametros Generales'!$J$9</f>
        <v>0</v>
      </c>
      <c r="AC142" s="417">
        <f>+H142*'Parametros Generales'!$J$10*'Parametros Generales'!$C$6*'Parametros Generales'!$C$11</f>
        <v>0</v>
      </c>
      <c r="AD142" s="417"/>
      <c r="AE142" s="417"/>
      <c r="AF142" s="417"/>
      <c r="AG142" s="417"/>
      <c r="AH142" s="417"/>
      <c r="AI142" s="417"/>
      <c r="AJ142" s="417"/>
      <c r="AK142" s="436"/>
      <c r="AL142" s="822"/>
    </row>
    <row r="143" spans="1:38" s="33" customFormat="1" hidden="1" outlineLevel="1">
      <c r="A143" s="1150"/>
      <c r="B143" s="823">
        <v>5</v>
      </c>
      <c r="C143" s="373" t="str">
        <f t="shared" si="9"/>
        <v>ANTIOQUIA</v>
      </c>
      <c r="D143" s="374"/>
      <c r="E143" s="1113"/>
      <c r="F143" s="1104"/>
      <c r="G143" s="375"/>
      <c r="H143" s="1062"/>
      <c r="I143" s="1057"/>
      <c r="J143" s="1058"/>
      <c r="K143" s="1070" t="str">
        <f t="shared" si="10"/>
        <v>Ok</v>
      </c>
      <c r="L143" s="1077">
        <f t="shared" si="11"/>
        <v>0</v>
      </c>
      <c r="M143" s="1091">
        <f>+H143/'Parametros Generales'!$C$8</f>
        <v>0</v>
      </c>
      <c r="N143" s="1098"/>
      <c r="O143" s="1098"/>
      <c r="P143" s="1098"/>
      <c r="Q143" s="1098"/>
      <c r="R143" s="1098">
        <f>+(M143/'Parametros Generales'!$C$9)</f>
        <v>0</v>
      </c>
      <c r="S143" s="395"/>
      <c r="T143" s="395"/>
      <c r="U143" s="395"/>
      <c r="V143" s="396"/>
      <c r="W143" s="376">
        <f>+R143*'Componentes T.H.'!$Q$9*'Parametros Generales'!$C$6</f>
        <v>0</v>
      </c>
      <c r="X143" s="376">
        <f>(+VLOOKUP(C143,'Transporte y Viaticos'!$B$87:$L$120,2,0)*'Parametros Generales'!$C$7*R143)*(2/3)</f>
        <v>0</v>
      </c>
      <c r="Y143" s="417"/>
      <c r="Z143" s="417"/>
      <c r="AA143" s="417"/>
      <c r="AB143" s="417">
        <f>+M143*'Parametros Generales'!$C$6*'Parametros Generales'!$J$9</f>
        <v>0</v>
      </c>
      <c r="AC143" s="417">
        <f>+H143*'Parametros Generales'!$J$10*'Parametros Generales'!$C$6*'Parametros Generales'!$C$11</f>
        <v>0</v>
      </c>
      <c r="AD143" s="417"/>
      <c r="AE143" s="417"/>
      <c r="AF143" s="417"/>
      <c r="AG143" s="417"/>
      <c r="AH143" s="417"/>
      <c r="AI143" s="417"/>
      <c r="AJ143" s="417"/>
      <c r="AK143" s="436"/>
      <c r="AL143" s="822"/>
    </row>
    <row r="144" spans="1:38" s="392" customFormat="1" collapsed="1">
      <c r="A144" s="1151">
        <v>3</v>
      </c>
      <c r="B144" s="824">
        <v>8</v>
      </c>
      <c r="C144" s="385" t="s">
        <v>1685</v>
      </c>
      <c r="D144" s="386"/>
      <c r="E144" s="1114" t="s">
        <v>1685</v>
      </c>
      <c r="F144" s="1105">
        <f>SUM(F145:F184)</f>
        <v>23</v>
      </c>
      <c r="G144" s="388">
        <f>+SUM(G145:G167)</f>
        <v>5577</v>
      </c>
      <c r="H144" s="512">
        <f>+SUM(H145:H184)</f>
        <v>5600</v>
      </c>
      <c r="I144" s="1083" t="s">
        <v>1685</v>
      </c>
      <c r="J144" s="1067">
        <v>5600</v>
      </c>
      <c r="K144" s="1069" t="str">
        <f t="shared" si="10"/>
        <v>Ok</v>
      </c>
      <c r="L144" s="1077">
        <f t="shared" si="11"/>
        <v>0</v>
      </c>
      <c r="M144" s="512">
        <f>+SUM(M145:M184)</f>
        <v>224</v>
      </c>
      <c r="N144" s="1073">
        <f>+VLOOKUP(H144,'Parametros Generales'!$B$14:$D$17,3,TRUE)</f>
        <v>0.8</v>
      </c>
      <c r="O144" s="1073">
        <f>+VLOOKUP(H144,'Parametros Generales'!$B$14:$D$17,3,TRUE)</f>
        <v>0.8</v>
      </c>
      <c r="P144" s="1073">
        <f>+VLOOKUP(H144,'Parametros Generales'!$B$14:$D$17,3,TRUE)</f>
        <v>0.8</v>
      </c>
      <c r="Q144" s="1073">
        <f>+R144/'Parametros Generales'!$C$10</f>
        <v>7</v>
      </c>
      <c r="R144" s="512">
        <f>+SUM(R145:R184)</f>
        <v>56</v>
      </c>
      <c r="S144" s="390">
        <f>+VLOOKUP(S$1,'Componentes T.H.'!$B$4:$R$22,'Componentes T.H.'!$Q$1,0)*'Parametros Generales'!$C$6*'Cost x Depart'!N144</f>
        <v>11725411.310133336</v>
      </c>
      <c r="T144" s="390">
        <f>+VLOOKUP(T$1,'Componentes T.H.'!$B$4:$R$22,'Componentes T.H.'!$Q$1,0)*'Parametros Generales'!$C$6*'Cost x Depart'!O144</f>
        <v>8835052.5272000004</v>
      </c>
      <c r="U144" s="390">
        <f>+VLOOKUP(U$1,'Componentes T.H.'!$B$4:$R$22,'Componentes T.H.'!$Q$1,0)*'Parametros Generales'!$C$6*'Cost x Depart'!P144</f>
        <v>3912345.6000000001</v>
      </c>
      <c r="V144" s="389">
        <f>+VLOOKUP(V$1,'Componentes T.H.'!$B$4:$R$22,'Componentes T.H.'!$Q$1,0)*'Parametros Generales'!$C$6*'Cost x Depart'!Q144</f>
        <v>69937332.740333334</v>
      </c>
      <c r="W144" s="512">
        <f t="shared" ref="W144:X144" si="12">+SUM(W145:W184)</f>
        <v>281036395.97599995</v>
      </c>
      <c r="X144" s="512">
        <f t="shared" si="12"/>
        <v>43592553.471068628</v>
      </c>
      <c r="Y144" s="391">
        <f>+VLOOKUP(C145,'Transporte y Viaticos'!$B$87:$F$120,2,0)*((O144/'Parametros Generales'!$J$14)+(Q144/'Parametros Generales'!$J$15)+(R144/'Parametros Generales'!$J$16))*'Parametros Generales'!$C$6</f>
        <v>2090107.2512467727</v>
      </c>
      <c r="Z144" s="391">
        <f>+(N144+O144+Q144)*'Parametros Generales'!$C$6*'Parametros Generales'!$J$7</f>
        <v>1690932</v>
      </c>
      <c r="AA144" s="391">
        <f>+SUM(N144:R144)*'Parametros Generales'!$C$6*'Parametros Generales'!$J$8</f>
        <v>11739300</v>
      </c>
      <c r="AB144" s="512">
        <f t="shared" ref="AB144:AC144" si="13">+SUM(AB145:AB184)</f>
        <v>109067636.36363643</v>
      </c>
      <c r="AC144" s="512">
        <f t="shared" si="13"/>
        <v>412677965.48724568</v>
      </c>
      <c r="AD144" s="391">
        <f>+'Parametros Generales'!$J$11*SUM(N144:R144)</f>
        <v>2200056</v>
      </c>
      <c r="AE144" s="436">
        <f>+SUM(S144:AD144)</f>
        <v>958505088.7268641</v>
      </c>
      <c r="AF144" s="391">
        <f>+AE144*(SUM('Res de Costos Pais'!G117:G117))</f>
        <v>65657598.577790193</v>
      </c>
      <c r="AG144" s="391">
        <f>+AE144+AF144</f>
        <v>1024162687.3046542</v>
      </c>
      <c r="AH144" s="391">
        <f>+AG144*SUM('Res de Costos Pais'!$G$123:$G$124)</f>
        <v>9893411.559362961</v>
      </c>
      <c r="AI144" s="391">
        <f>+(AG144+AH144)*'Res de Costos Pais'!$G$136</f>
        <v>2791951.4669328467</v>
      </c>
      <c r="AJ144" s="391">
        <f>+(AG144+AH144+AI144)*'Res de Costos Pais'!$G$140</f>
        <v>4147392.2013238007</v>
      </c>
      <c r="AK144" s="391">
        <f>+AG144+AH144+AI144+AJ144</f>
        <v>1040995442.5322739</v>
      </c>
      <c r="AL144" s="820">
        <f>IF(ISERROR((+(AK144/H144)/'Parametros Generales'!$C$6)),0,(+(AK144/H144)/'Parametros Generales'!$C$6))</f>
        <v>37178.408661866924</v>
      </c>
    </row>
    <row r="145" spans="1:38" s="33" customFormat="1" hidden="1" outlineLevel="1">
      <c r="A145" s="1150"/>
      <c r="B145" s="819">
        <v>8</v>
      </c>
      <c r="C145" s="377" t="s">
        <v>1685</v>
      </c>
      <c r="D145" s="378">
        <f>+VLOOKUP(E145,Codigos!$A$1:$B$1123,2,0)</f>
        <v>8001</v>
      </c>
      <c r="E145" s="1110" t="s">
        <v>1686</v>
      </c>
      <c r="F145" s="1102">
        <v>1</v>
      </c>
      <c r="G145" s="379">
        <v>1221</v>
      </c>
      <c r="H145" s="1060">
        <f>CEILING((G145+60-100),'Parametros Generales'!$C$8)</f>
        <v>1200</v>
      </c>
      <c r="I145" s="1057" t="s">
        <v>132</v>
      </c>
      <c r="J145" s="1058">
        <v>1200</v>
      </c>
      <c r="K145" s="1070" t="str">
        <f t="shared" si="10"/>
        <v>Ok</v>
      </c>
      <c r="L145" s="1077">
        <f t="shared" si="11"/>
        <v>0</v>
      </c>
      <c r="M145" s="1089">
        <f>+H145/'Parametros Generales'!$C$8</f>
        <v>48</v>
      </c>
      <c r="N145" s="1096"/>
      <c r="O145" s="1096"/>
      <c r="P145" s="1096"/>
      <c r="Q145" s="1096"/>
      <c r="R145" s="1096">
        <f>+(M145/'Parametros Generales'!$C$9)</f>
        <v>12</v>
      </c>
      <c r="S145" s="393"/>
      <c r="T145" s="393"/>
      <c r="U145" s="393"/>
      <c r="V145" s="394"/>
      <c r="W145" s="380">
        <f>+R145*'Componentes T.H.'!$Q$9*'Parametros Generales'!C6</f>
        <v>60222084.851999998</v>
      </c>
      <c r="X145" s="380">
        <f>(+VLOOKUP(C145,'Transporte y Viaticos'!$B$87:$L$120,2,0)*'Parametros Generales'!$C$7*R145)*(2/3)</f>
        <v>9341261.4580861349</v>
      </c>
      <c r="Y145" s="417"/>
      <c r="Z145" s="417"/>
      <c r="AA145" s="417"/>
      <c r="AB145" s="417">
        <f>+M145*'Parametros Generales'!$C$6*'Parametros Generales'!$J$9</f>
        <v>23371636.363636371</v>
      </c>
      <c r="AC145" s="417">
        <f>+H145*'Parametros Generales'!$J$10*'Parametros Generales'!$C$6*'Parametros Generales'!$C$11</f>
        <v>88430992.604409769</v>
      </c>
      <c r="AD145" s="417"/>
      <c r="AE145" s="417"/>
      <c r="AF145" s="417"/>
      <c r="AG145" s="417"/>
      <c r="AH145" s="417"/>
      <c r="AI145" s="417"/>
      <c r="AJ145" s="417"/>
      <c r="AK145" s="436"/>
      <c r="AL145" s="822"/>
    </row>
    <row r="146" spans="1:38" s="33" customFormat="1" hidden="1" outlineLevel="1">
      <c r="A146" s="1150"/>
      <c r="B146" s="821">
        <v>8</v>
      </c>
      <c r="C146" s="371" t="s">
        <v>1685</v>
      </c>
      <c r="D146" s="31">
        <f>+VLOOKUP(E146,Codigos!$A$1:$B$1123,2,0)</f>
        <v>8078</v>
      </c>
      <c r="E146" s="1111" t="s">
        <v>1687</v>
      </c>
      <c r="F146" s="1103">
        <v>1</v>
      </c>
      <c r="G146" s="30">
        <v>198</v>
      </c>
      <c r="H146" s="1061">
        <f>CEILING(G146,'Parametros Generales'!$C$8)</f>
        <v>200</v>
      </c>
      <c r="I146" s="1057" t="s">
        <v>133</v>
      </c>
      <c r="J146" s="1058">
        <v>200</v>
      </c>
      <c r="K146" s="1070" t="str">
        <f t="shared" si="10"/>
        <v>Ok</v>
      </c>
      <c r="L146" s="1077">
        <f t="shared" si="11"/>
        <v>0</v>
      </c>
      <c r="M146" s="1090">
        <f>+H146/'Parametros Generales'!$C$8</f>
        <v>8</v>
      </c>
      <c r="N146" s="1097"/>
      <c r="O146" s="1097"/>
      <c r="P146" s="1097"/>
      <c r="Q146" s="1097"/>
      <c r="R146" s="1097">
        <f>+(M146/'Parametros Generales'!$C$9)</f>
        <v>2</v>
      </c>
      <c r="S146" s="390"/>
      <c r="T146" s="390"/>
      <c r="U146" s="390"/>
      <c r="V146" s="389"/>
      <c r="W146" s="32">
        <f>+R146*'Componentes T.H.'!$Q$9*'Parametros Generales'!C6</f>
        <v>10037014.142000001</v>
      </c>
      <c r="X146" s="32">
        <f>(+VLOOKUP(C146,'Transporte y Viaticos'!$B$87:$L$120,2,0)*'Parametros Generales'!$C$7*R146)*(2/3)</f>
        <v>1556876.9096810224</v>
      </c>
      <c r="Y146" s="417"/>
      <c r="Z146" s="417"/>
      <c r="AA146" s="417"/>
      <c r="AB146" s="417">
        <f>+M146*'Parametros Generales'!$C$6*'Parametros Generales'!$J$9</f>
        <v>3895272.7272727285</v>
      </c>
      <c r="AC146" s="417">
        <f>+H146*'Parametros Generales'!$J$10*'Parametros Generales'!$C$6*'Parametros Generales'!$C$11</f>
        <v>14738498.767401624</v>
      </c>
      <c r="AD146" s="417"/>
      <c r="AE146" s="417"/>
      <c r="AF146" s="417"/>
      <c r="AG146" s="417"/>
      <c r="AH146" s="417"/>
      <c r="AI146" s="417"/>
      <c r="AJ146" s="417"/>
      <c r="AK146" s="436"/>
      <c r="AL146" s="822"/>
    </row>
    <row r="147" spans="1:38" s="33" customFormat="1" hidden="1" outlineLevel="1">
      <c r="A147" s="1150"/>
      <c r="B147" s="821">
        <v>8</v>
      </c>
      <c r="C147" s="371" t="s">
        <v>1685</v>
      </c>
      <c r="D147" s="31">
        <f>+VLOOKUP(E147,Codigos!$A$1:$B$1123,2,0)</f>
        <v>8137</v>
      </c>
      <c r="E147" s="1111" t="s">
        <v>1688</v>
      </c>
      <c r="F147" s="1103">
        <v>1</v>
      </c>
      <c r="G147" s="30">
        <v>198</v>
      </c>
      <c r="H147" s="1061">
        <f>CEILING(G147,'Parametros Generales'!$C$8)</f>
        <v>200</v>
      </c>
      <c r="I147" s="1057" t="s">
        <v>134</v>
      </c>
      <c r="J147" s="1058">
        <v>200</v>
      </c>
      <c r="K147" s="1070" t="str">
        <f t="shared" si="10"/>
        <v>Ok</v>
      </c>
      <c r="L147" s="1077">
        <f t="shared" si="11"/>
        <v>0</v>
      </c>
      <c r="M147" s="1090">
        <f>+H147/'Parametros Generales'!$C$8</f>
        <v>8</v>
      </c>
      <c r="N147" s="1097"/>
      <c r="O147" s="1097"/>
      <c r="P147" s="1097"/>
      <c r="Q147" s="1097"/>
      <c r="R147" s="1097">
        <f>+(M147/'Parametros Generales'!$C$9)</f>
        <v>2</v>
      </c>
      <c r="S147" s="390"/>
      <c r="T147" s="390"/>
      <c r="U147" s="390"/>
      <c r="V147" s="389"/>
      <c r="W147" s="32">
        <f>+R147*'Componentes T.H.'!$Q$9*'Parametros Generales'!C6</f>
        <v>10037014.142000001</v>
      </c>
      <c r="X147" s="32">
        <f>(+VLOOKUP(C147,'Transporte y Viaticos'!$B$87:$L$120,2,0)*'Parametros Generales'!$C$7*R147)*(2/3)</f>
        <v>1556876.9096810224</v>
      </c>
      <c r="Y147" s="417"/>
      <c r="Z147" s="417"/>
      <c r="AA147" s="417"/>
      <c r="AB147" s="417">
        <f>+M147*'Parametros Generales'!$C$6*'Parametros Generales'!$J$9</f>
        <v>3895272.7272727285</v>
      </c>
      <c r="AC147" s="417">
        <f>+H147*'Parametros Generales'!$J$10*'Parametros Generales'!$C$6*'Parametros Generales'!$C$11</f>
        <v>14738498.767401624</v>
      </c>
      <c r="AD147" s="417"/>
      <c r="AE147" s="417"/>
      <c r="AF147" s="417"/>
      <c r="AG147" s="417"/>
      <c r="AH147" s="417"/>
      <c r="AI147" s="417"/>
      <c r="AJ147" s="417"/>
      <c r="AK147" s="436"/>
      <c r="AL147" s="822"/>
    </row>
    <row r="148" spans="1:38" s="33" customFormat="1" hidden="1" outlineLevel="1">
      <c r="A148" s="1150"/>
      <c r="B148" s="821">
        <v>8</v>
      </c>
      <c r="C148" s="371" t="s">
        <v>1685</v>
      </c>
      <c r="D148" s="31">
        <f>+VLOOKUP(E148,Codigos!$A$1:$B$1123,2,0)</f>
        <v>8141</v>
      </c>
      <c r="E148" s="1111" t="s">
        <v>1689</v>
      </c>
      <c r="F148" s="1103">
        <v>1</v>
      </c>
      <c r="G148" s="30">
        <v>198</v>
      </c>
      <c r="H148" s="1061">
        <f>CEILING(G148,'Parametros Generales'!$C$8)</f>
        <v>200</v>
      </c>
      <c r="I148" s="1057" t="s">
        <v>135</v>
      </c>
      <c r="J148" s="1058">
        <v>200</v>
      </c>
      <c r="K148" s="1070" t="str">
        <f t="shared" si="10"/>
        <v>Ok</v>
      </c>
      <c r="L148" s="1077">
        <f t="shared" si="11"/>
        <v>0</v>
      </c>
      <c r="M148" s="1090">
        <f>+H148/'Parametros Generales'!$C$8</f>
        <v>8</v>
      </c>
      <c r="N148" s="1097"/>
      <c r="O148" s="1097"/>
      <c r="P148" s="1097"/>
      <c r="Q148" s="1097"/>
      <c r="R148" s="1097">
        <f>+(M148/'Parametros Generales'!$C$9)</f>
        <v>2</v>
      </c>
      <c r="S148" s="390"/>
      <c r="T148" s="390"/>
      <c r="U148" s="390"/>
      <c r="V148" s="389"/>
      <c r="W148" s="32">
        <f>+R148*'Componentes T.H.'!$Q$9*'Parametros Generales'!C6</f>
        <v>10037014.142000001</v>
      </c>
      <c r="X148" s="32">
        <f>(+VLOOKUP(C148,'Transporte y Viaticos'!$B$87:$L$120,2,0)*'Parametros Generales'!$C$7*R148)*(2/3)</f>
        <v>1556876.9096810224</v>
      </c>
      <c r="Y148" s="417"/>
      <c r="Z148" s="417"/>
      <c r="AA148" s="417"/>
      <c r="AB148" s="417">
        <f>+M148*'Parametros Generales'!$C$6*'Parametros Generales'!$J$9</f>
        <v>3895272.7272727285</v>
      </c>
      <c r="AC148" s="417">
        <f>+H148*'Parametros Generales'!$J$10*'Parametros Generales'!$C$6*'Parametros Generales'!$C$11</f>
        <v>14738498.767401624</v>
      </c>
      <c r="AD148" s="417"/>
      <c r="AE148" s="417"/>
      <c r="AF148" s="417"/>
      <c r="AG148" s="417"/>
      <c r="AH148" s="417"/>
      <c r="AI148" s="417"/>
      <c r="AJ148" s="417"/>
      <c r="AK148" s="436"/>
      <c r="AL148" s="822"/>
    </row>
    <row r="149" spans="1:38" s="33" customFormat="1" hidden="1" outlineLevel="1">
      <c r="A149" s="1150"/>
      <c r="B149" s="821">
        <v>8</v>
      </c>
      <c r="C149" s="371" t="s">
        <v>1685</v>
      </c>
      <c r="D149" s="31">
        <f>+VLOOKUP(E149,Codigos!$A$1:$B$1123,2,0)</f>
        <v>8296</v>
      </c>
      <c r="E149" s="1111" t="s">
        <v>1690</v>
      </c>
      <c r="F149" s="1103">
        <v>1</v>
      </c>
      <c r="G149" s="30">
        <v>198</v>
      </c>
      <c r="H149" s="1061">
        <f>CEILING(G149,'Parametros Generales'!$C$8)</f>
        <v>200</v>
      </c>
      <c r="I149" s="1057" t="s">
        <v>136</v>
      </c>
      <c r="J149" s="1058">
        <v>200</v>
      </c>
      <c r="K149" s="1070" t="str">
        <f t="shared" si="10"/>
        <v>Ok</v>
      </c>
      <c r="L149" s="1077">
        <f t="shared" si="11"/>
        <v>0</v>
      </c>
      <c r="M149" s="1090">
        <f>+H149/'Parametros Generales'!$C$8</f>
        <v>8</v>
      </c>
      <c r="N149" s="1097"/>
      <c r="O149" s="1097"/>
      <c r="P149" s="1097"/>
      <c r="Q149" s="1097"/>
      <c r="R149" s="1097">
        <f>+(M149/'Parametros Generales'!$C$9)</f>
        <v>2</v>
      </c>
      <c r="S149" s="390"/>
      <c r="T149" s="390"/>
      <c r="U149" s="390"/>
      <c r="V149" s="389"/>
      <c r="W149" s="32">
        <f>+R149*'Componentes T.H.'!$Q$9*'Parametros Generales'!C6</f>
        <v>10037014.142000001</v>
      </c>
      <c r="X149" s="32">
        <f>(+VLOOKUP(C149,'Transporte y Viaticos'!$B$87:$L$120,2,0)*'Parametros Generales'!$C$7*R149)*(2/3)</f>
        <v>1556876.9096810224</v>
      </c>
      <c r="Y149" s="417"/>
      <c r="Z149" s="417"/>
      <c r="AA149" s="417"/>
      <c r="AB149" s="417">
        <f>+M149*'Parametros Generales'!$C$6*'Parametros Generales'!$J$9</f>
        <v>3895272.7272727285</v>
      </c>
      <c r="AC149" s="417">
        <f>+H149*'Parametros Generales'!$J$10*'Parametros Generales'!$C$6*'Parametros Generales'!$C$11</f>
        <v>14738498.767401624</v>
      </c>
      <c r="AD149" s="417"/>
      <c r="AE149" s="417"/>
      <c r="AF149" s="417"/>
      <c r="AG149" s="417"/>
      <c r="AH149" s="417"/>
      <c r="AI149" s="417"/>
      <c r="AJ149" s="417"/>
      <c r="AK149" s="436"/>
      <c r="AL149" s="822"/>
    </row>
    <row r="150" spans="1:38" s="33" customFormat="1" hidden="1" outlineLevel="1">
      <c r="A150" s="1150"/>
      <c r="B150" s="821">
        <v>8</v>
      </c>
      <c r="C150" s="371" t="s">
        <v>1685</v>
      </c>
      <c r="D150" s="31">
        <f>+VLOOKUP(E150,Codigos!$A$1:$B$1123,2,0)</f>
        <v>8372</v>
      </c>
      <c r="E150" s="1111" t="s">
        <v>1691</v>
      </c>
      <c r="F150" s="1103">
        <v>1</v>
      </c>
      <c r="G150" s="30">
        <v>198</v>
      </c>
      <c r="H150" s="1061">
        <f>CEILING(G150,'Parametros Generales'!$C$8)</f>
        <v>200</v>
      </c>
      <c r="I150" s="1057" t="s">
        <v>137</v>
      </c>
      <c r="J150" s="1058">
        <v>200</v>
      </c>
      <c r="K150" s="1070" t="str">
        <f t="shared" si="10"/>
        <v>Ok</v>
      </c>
      <c r="L150" s="1077">
        <f t="shared" si="11"/>
        <v>0</v>
      </c>
      <c r="M150" s="1090">
        <f>+H150/'Parametros Generales'!$C$8</f>
        <v>8</v>
      </c>
      <c r="N150" s="1097"/>
      <c r="O150" s="1097"/>
      <c r="P150" s="1097"/>
      <c r="Q150" s="1097"/>
      <c r="R150" s="1097">
        <f>+(M150/'Parametros Generales'!$C$9)</f>
        <v>2</v>
      </c>
      <c r="S150" s="390"/>
      <c r="T150" s="390"/>
      <c r="U150" s="390"/>
      <c r="V150" s="389"/>
      <c r="W150" s="32">
        <f>+R150*'Componentes T.H.'!$Q$9*'Parametros Generales'!C6</f>
        <v>10037014.142000001</v>
      </c>
      <c r="X150" s="32">
        <f>(+VLOOKUP(C150,'Transporte y Viaticos'!$B$87:$L$120,2,0)*'Parametros Generales'!$C$7*R150)*(2/3)</f>
        <v>1556876.9096810224</v>
      </c>
      <c r="Y150" s="417"/>
      <c r="Z150" s="417"/>
      <c r="AA150" s="417"/>
      <c r="AB150" s="417">
        <f>+M150*'Parametros Generales'!$C$6*'Parametros Generales'!$J$9</f>
        <v>3895272.7272727285</v>
      </c>
      <c r="AC150" s="417">
        <f>+H150*'Parametros Generales'!$J$10*'Parametros Generales'!$C$6*'Parametros Generales'!$C$11</f>
        <v>14738498.767401624</v>
      </c>
      <c r="AD150" s="417"/>
      <c r="AE150" s="417"/>
      <c r="AF150" s="417"/>
      <c r="AG150" s="417"/>
      <c r="AH150" s="417"/>
      <c r="AI150" s="417"/>
      <c r="AJ150" s="417"/>
      <c r="AK150" s="436"/>
      <c r="AL150" s="822"/>
    </row>
    <row r="151" spans="1:38" s="33" customFormat="1" hidden="1" outlineLevel="1">
      <c r="A151" s="1150"/>
      <c r="B151" s="821">
        <v>8</v>
      </c>
      <c r="C151" s="371" t="s">
        <v>1685</v>
      </c>
      <c r="D151" s="31">
        <f>+VLOOKUP(E151,Codigos!$A$1:$B$1123,2,0)</f>
        <v>8421</v>
      </c>
      <c r="E151" s="1111" t="s">
        <v>1692</v>
      </c>
      <c r="F151" s="1103">
        <v>1</v>
      </c>
      <c r="G151" s="30">
        <v>198</v>
      </c>
      <c r="H151" s="1061">
        <f>CEILING(G151,'Parametros Generales'!$C$8)</f>
        <v>200</v>
      </c>
      <c r="I151" s="1057" t="s">
        <v>138</v>
      </c>
      <c r="J151" s="1058">
        <v>200</v>
      </c>
      <c r="K151" s="1070" t="str">
        <f t="shared" si="10"/>
        <v>Ok</v>
      </c>
      <c r="L151" s="1077">
        <f t="shared" si="11"/>
        <v>0</v>
      </c>
      <c r="M151" s="1090">
        <f>+H151/'Parametros Generales'!$C$8</f>
        <v>8</v>
      </c>
      <c r="N151" s="1097"/>
      <c r="O151" s="1097"/>
      <c r="P151" s="1097"/>
      <c r="Q151" s="1097"/>
      <c r="R151" s="1097">
        <f>+(M151/'Parametros Generales'!$C$9)</f>
        <v>2</v>
      </c>
      <c r="S151" s="390"/>
      <c r="T151" s="390"/>
      <c r="U151" s="390"/>
      <c r="V151" s="389"/>
      <c r="W151" s="32">
        <f>+R151*'Componentes T.H.'!$Q$9*'Parametros Generales'!C6</f>
        <v>10037014.142000001</v>
      </c>
      <c r="X151" s="32">
        <f>(+VLOOKUP(C151,'Transporte y Viaticos'!$B$87:$L$120,2,0)*'Parametros Generales'!$C$7*R151)*(2/3)</f>
        <v>1556876.9096810224</v>
      </c>
      <c r="Y151" s="417"/>
      <c r="Z151" s="417"/>
      <c r="AA151" s="417"/>
      <c r="AB151" s="417">
        <f>+M151*'Parametros Generales'!$C$6*'Parametros Generales'!$J$9</f>
        <v>3895272.7272727285</v>
      </c>
      <c r="AC151" s="417">
        <f>+H151*'Parametros Generales'!$J$10*'Parametros Generales'!$C$6*'Parametros Generales'!$C$11</f>
        <v>14738498.767401624</v>
      </c>
      <c r="AD151" s="417"/>
      <c r="AE151" s="417"/>
      <c r="AF151" s="417"/>
      <c r="AG151" s="417"/>
      <c r="AH151" s="417"/>
      <c r="AI151" s="417"/>
      <c r="AJ151" s="417"/>
      <c r="AK151" s="436"/>
      <c r="AL151" s="822"/>
    </row>
    <row r="152" spans="1:38" s="33" customFormat="1" hidden="1" outlineLevel="1">
      <c r="A152" s="1150"/>
      <c r="B152" s="821">
        <v>8</v>
      </c>
      <c r="C152" s="371" t="s">
        <v>1685</v>
      </c>
      <c r="D152" s="31">
        <f>+VLOOKUP(E152,Codigos!$A$1:$B$1123,2,0)</f>
        <v>8433</v>
      </c>
      <c r="E152" s="1111" t="s">
        <v>1693</v>
      </c>
      <c r="F152" s="1103">
        <v>1</v>
      </c>
      <c r="G152" s="30">
        <v>198</v>
      </c>
      <c r="H152" s="1061">
        <f>CEILING(G152,'Parametros Generales'!$C$8)</f>
        <v>200</v>
      </c>
      <c r="I152" s="1057" t="s">
        <v>139</v>
      </c>
      <c r="J152" s="1058">
        <v>200</v>
      </c>
      <c r="K152" s="1070" t="str">
        <f t="shared" si="10"/>
        <v>Ok</v>
      </c>
      <c r="L152" s="1077">
        <f t="shared" si="11"/>
        <v>0</v>
      </c>
      <c r="M152" s="1090">
        <f>+H152/'Parametros Generales'!$C$8</f>
        <v>8</v>
      </c>
      <c r="N152" s="1097"/>
      <c r="O152" s="1097"/>
      <c r="P152" s="1097"/>
      <c r="Q152" s="1097"/>
      <c r="R152" s="1097">
        <f>+(M152/'Parametros Generales'!$C$9)</f>
        <v>2</v>
      </c>
      <c r="S152" s="390"/>
      <c r="T152" s="390"/>
      <c r="U152" s="390"/>
      <c r="V152" s="389"/>
      <c r="W152" s="32">
        <f>+R152*'Componentes T.H.'!$Q$9*'Parametros Generales'!C6</f>
        <v>10037014.142000001</v>
      </c>
      <c r="X152" s="32">
        <f>(+VLOOKUP(C152,'Transporte y Viaticos'!$B$87:$L$120,2,0)*'Parametros Generales'!$C$7*R152)*(2/3)</f>
        <v>1556876.9096810224</v>
      </c>
      <c r="Y152" s="417"/>
      <c r="Z152" s="417"/>
      <c r="AA152" s="417"/>
      <c r="AB152" s="417">
        <f>+M152*'Parametros Generales'!$C$6*'Parametros Generales'!$J$9</f>
        <v>3895272.7272727285</v>
      </c>
      <c r="AC152" s="417">
        <f>+H152*'Parametros Generales'!$J$10*'Parametros Generales'!$C$6*'Parametros Generales'!$C$11</f>
        <v>14738498.767401624</v>
      </c>
      <c r="AD152" s="417"/>
      <c r="AE152" s="417"/>
      <c r="AF152" s="417"/>
      <c r="AG152" s="417"/>
      <c r="AH152" s="417"/>
      <c r="AI152" s="417"/>
      <c r="AJ152" s="417"/>
      <c r="AK152" s="436"/>
      <c r="AL152" s="822"/>
    </row>
    <row r="153" spans="1:38" s="33" customFormat="1" hidden="1" outlineLevel="1">
      <c r="A153" s="1150"/>
      <c r="B153" s="821">
        <v>8</v>
      </c>
      <c r="C153" s="371" t="s">
        <v>1685</v>
      </c>
      <c r="D153" s="31">
        <f>+VLOOKUP(E153,Codigos!$A$1:$B$1123,2,0)</f>
        <v>8436</v>
      </c>
      <c r="E153" s="1111" t="s">
        <v>1694</v>
      </c>
      <c r="F153" s="1103">
        <v>1</v>
      </c>
      <c r="G153" s="30">
        <v>198</v>
      </c>
      <c r="H153" s="1061">
        <f>CEILING(G153,'Parametros Generales'!$C$8)</f>
        <v>200</v>
      </c>
      <c r="I153" s="1057" t="s">
        <v>140</v>
      </c>
      <c r="J153" s="1058">
        <v>200</v>
      </c>
      <c r="K153" s="1070" t="str">
        <f t="shared" si="10"/>
        <v>Ok</v>
      </c>
      <c r="L153" s="1077">
        <f t="shared" si="11"/>
        <v>0</v>
      </c>
      <c r="M153" s="1090">
        <f>+H153/'Parametros Generales'!$C$8</f>
        <v>8</v>
      </c>
      <c r="N153" s="1097"/>
      <c r="O153" s="1097"/>
      <c r="P153" s="1097"/>
      <c r="Q153" s="1097"/>
      <c r="R153" s="1097">
        <f>+(M153/'Parametros Generales'!$C$9)</f>
        <v>2</v>
      </c>
      <c r="S153" s="390"/>
      <c r="T153" s="390"/>
      <c r="U153" s="390"/>
      <c r="V153" s="389"/>
      <c r="W153" s="32">
        <f>+R153*'Componentes T.H.'!$Q$9*'Parametros Generales'!C6</f>
        <v>10037014.142000001</v>
      </c>
      <c r="X153" s="32">
        <f>(+VLOOKUP(C153,'Transporte y Viaticos'!$B$87:$L$120,2,0)*'Parametros Generales'!$C$7*R153)*(2/3)</f>
        <v>1556876.9096810224</v>
      </c>
      <c r="Y153" s="417"/>
      <c r="Z153" s="417"/>
      <c r="AA153" s="417"/>
      <c r="AB153" s="417">
        <f>+M153*'Parametros Generales'!$C$6*'Parametros Generales'!$J$9</f>
        <v>3895272.7272727285</v>
      </c>
      <c r="AC153" s="417">
        <f>+H153*'Parametros Generales'!$J$10*'Parametros Generales'!$C$6*'Parametros Generales'!$C$11</f>
        <v>14738498.767401624</v>
      </c>
      <c r="AD153" s="417"/>
      <c r="AE153" s="417"/>
      <c r="AF153" s="417"/>
      <c r="AG153" s="417"/>
      <c r="AH153" s="417"/>
      <c r="AI153" s="417"/>
      <c r="AJ153" s="417"/>
      <c r="AK153" s="436"/>
      <c r="AL153" s="822"/>
    </row>
    <row r="154" spans="1:38" s="33" customFormat="1" hidden="1" outlineLevel="1">
      <c r="A154" s="1150"/>
      <c r="B154" s="821">
        <v>8</v>
      </c>
      <c r="C154" s="371" t="s">
        <v>1685</v>
      </c>
      <c r="D154" s="31">
        <f>+VLOOKUP(E154,Codigos!$A$1:$B$1123,2,0)</f>
        <v>8520</v>
      </c>
      <c r="E154" s="1111" t="s">
        <v>1695</v>
      </c>
      <c r="F154" s="1103">
        <v>1</v>
      </c>
      <c r="G154" s="30">
        <v>198</v>
      </c>
      <c r="H154" s="1061">
        <f>CEILING(G154,'Parametros Generales'!$C$8)</f>
        <v>200</v>
      </c>
      <c r="I154" s="1057" t="s">
        <v>141</v>
      </c>
      <c r="J154" s="1058">
        <v>200</v>
      </c>
      <c r="K154" s="1070" t="str">
        <f t="shared" si="10"/>
        <v>Ok</v>
      </c>
      <c r="L154" s="1077">
        <f t="shared" si="11"/>
        <v>0</v>
      </c>
      <c r="M154" s="1090">
        <f>+H154/'Parametros Generales'!$C$8</f>
        <v>8</v>
      </c>
      <c r="N154" s="1097"/>
      <c r="O154" s="1097"/>
      <c r="P154" s="1097"/>
      <c r="Q154" s="1097"/>
      <c r="R154" s="1097">
        <f>+(M154/'Parametros Generales'!$C$9)</f>
        <v>2</v>
      </c>
      <c r="S154" s="390"/>
      <c r="T154" s="390"/>
      <c r="U154" s="390"/>
      <c r="V154" s="389"/>
      <c r="W154" s="32">
        <f>+R154*'Componentes T.H.'!$Q$9*'Parametros Generales'!C6</f>
        <v>10037014.142000001</v>
      </c>
      <c r="X154" s="32">
        <f>(+VLOOKUP(C154,'Transporte y Viaticos'!$B$87:$L$120,2,0)*'Parametros Generales'!$C$7*R154)*(2/3)</f>
        <v>1556876.9096810224</v>
      </c>
      <c r="Y154" s="417"/>
      <c r="Z154" s="417"/>
      <c r="AA154" s="417"/>
      <c r="AB154" s="417">
        <f>+M154*'Parametros Generales'!$C$6*'Parametros Generales'!$J$9</f>
        <v>3895272.7272727285</v>
      </c>
      <c r="AC154" s="417">
        <f>+H154*'Parametros Generales'!$J$10*'Parametros Generales'!$C$6*'Parametros Generales'!$C$11</f>
        <v>14738498.767401624</v>
      </c>
      <c r="AD154" s="417"/>
      <c r="AE154" s="417"/>
      <c r="AF154" s="417"/>
      <c r="AG154" s="417"/>
      <c r="AH154" s="417"/>
      <c r="AI154" s="417"/>
      <c r="AJ154" s="417"/>
      <c r="AK154" s="436"/>
      <c r="AL154" s="822"/>
    </row>
    <row r="155" spans="1:38" s="33" customFormat="1" hidden="1" outlineLevel="1">
      <c r="A155" s="1150"/>
      <c r="B155" s="821">
        <v>8</v>
      </c>
      <c r="C155" s="371" t="s">
        <v>1685</v>
      </c>
      <c r="D155" s="31">
        <f>+VLOOKUP(E155,Codigos!$A$1:$B$1123,2,0)</f>
        <v>8549</v>
      </c>
      <c r="E155" s="1111" t="s">
        <v>1696</v>
      </c>
      <c r="F155" s="1103">
        <v>1</v>
      </c>
      <c r="G155" s="30">
        <v>198</v>
      </c>
      <c r="H155" s="1061">
        <f>CEILING(G155,'Parametros Generales'!$C$8)</f>
        <v>200</v>
      </c>
      <c r="I155" s="1057" t="s">
        <v>142</v>
      </c>
      <c r="J155" s="1058">
        <v>200</v>
      </c>
      <c r="K155" s="1070" t="str">
        <f t="shared" si="10"/>
        <v>Ok</v>
      </c>
      <c r="L155" s="1077">
        <f t="shared" si="11"/>
        <v>0</v>
      </c>
      <c r="M155" s="1090">
        <f>+H155/'Parametros Generales'!$C$8</f>
        <v>8</v>
      </c>
      <c r="N155" s="1097"/>
      <c r="O155" s="1097"/>
      <c r="P155" s="1097"/>
      <c r="Q155" s="1097"/>
      <c r="R155" s="1097">
        <f>+(M155/'Parametros Generales'!$C$9)</f>
        <v>2</v>
      </c>
      <c r="S155" s="390"/>
      <c r="T155" s="390"/>
      <c r="U155" s="390"/>
      <c r="V155" s="389"/>
      <c r="W155" s="32">
        <f>+R155*'Componentes T.H.'!$Q$9*'Parametros Generales'!C6</f>
        <v>10037014.142000001</v>
      </c>
      <c r="X155" s="32">
        <f>(+VLOOKUP(C155,'Transporte y Viaticos'!$B$87:$L$120,2,0)*'Parametros Generales'!$C$7*R155)*(2/3)</f>
        <v>1556876.9096810224</v>
      </c>
      <c r="Y155" s="417"/>
      <c r="Z155" s="417"/>
      <c r="AA155" s="417"/>
      <c r="AB155" s="417">
        <f>+M155*'Parametros Generales'!$C$6*'Parametros Generales'!$J$9</f>
        <v>3895272.7272727285</v>
      </c>
      <c r="AC155" s="417">
        <f>+H155*'Parametros Generales'!$J$10*'Parametros Generales'!$C$6*'Parametros Generales'!$C$11</f>
        <v>14738498.767401624</v>
      </c>
      <c r="AD155" s="417"/>
      <c r="AE155" s="417"/>
      <c r="AF155" s="417"/>
      <c r="AG155" s="417"/>
      <c r="AH155" s="417"/>
      <c r="AI155" s="417"/>
      <c r="AJ155" s="417"/>
      <c r="AK155" s="436"/>
      <c r="AL155" s="822"/>
    </row>
    <row r="156" spans="1:38" s="33" customFormat="1" hidden="1" outlineLevel="1">
      <c r="A156" s="1150"/>
      <c r="B156" s="821">
        <v>8</v>
      </c>
      <c r="C156" s="371" t="s">
        <v>1685</v>
      </c>
      <c r="D156" s="31">
        <f>+VLOOKUP(E156,Codigos!$A$1:$B$1123,2,0)</f>
        <v>8558</v>
      </c>
      <c r="E156" s="1111" t="s">
        <v>1697</v>
      </c>
      <c r="F156" s="1103">
        <v>1</v>
      </c>
      <c r="G156" s="30">
        <v>198</v>
      </c>
      <c r="H156" s="1061">
        <f>CEILING(G156,'Parametros Generales'!$C$8)</f>
        <v>200</v>
      </c>
      <c r="I156" s="1057" t="s">
        <v>143</v>
      </c>
      <c r="J156" s="1058">
        <v>200</v>
      </c>
      <c r="K156" s="1070" t="str">
        <f t="shared" si="10"/>
        <v>Ok</v>
      </c>
      <c r="L156" s="1077">
        <f t="shared" si="11"/>
        <v>0</v>
      </c>
      <c r="M156" s="1090">
        <f>+H156/'Parametros Generales'!$C$8</f>
        <v>8</v>
      </c>
      <c r="N156" s="1097"/>
      <c r="O156" s="1097"/>
      <c r="P156" s="1097"/>
      <c r="Q156" s="1097"/>
      <c r="R156" s="1097">
        <f>+(M156/'Parametros Generales'!$C$9)</f>
        <v>2</v>
      </c>
      <c r="S156" s="390"/>
      <c r="T156" s="390"/>
      <c r="U156" s="390"/>
      <c r="V156" s="389"/>
      <c r="W156" s="32">
        <f>+R156*'Componentes T.H.'!$Q$9*'Parametros Generales'!C6</f>
        <v>10037014.142000001</v>
      </c>
      <c r="X156" s="32">
        <f>(+VLOOKUP(C156,'Transporte y Viaticos'!$B$87:$L$120,2,0)*'Parametros Generales'!$C$7*R156)*(2/3)</f>
        <v>1556876.9096810224</v>
      </c>
      <c r="Y156" s="417"/>
      <c r="Z156" s="417"/>
      <c r="AA156" s="417"/>
      <c r="AB156" s="417">
        <f>+M156*'Parametros Generales'!$C$6*'Parametros Generales'!$J$9</f>
        <v>3895272.7272727285</v>
      </c>
      <c r="AC156" s="417">
        <f>+H156*'Parametros Generales'!$J$10*'Parametros Generales'!$C$6*'Parametros Generales'!$C$11</f>
        <v>14738498.767401624</v>
      </c>
      <c r="AD156" s="417"/>
      <c r="AE156" s="417"/>
      <c r="AF156" s="417"/>
      <c r="AG156" s="417"/>
      <c r="AH156" s="417"/>
      <c r="AI156" s="417"/>
      <c r="AJ156" s="417"/>
      <c r="AK156" s="436"/>
      <c r="AL156" s="822"/>
    </row>
    <row r="157" spans="1:38" s="33" customFormat="1" hidden="1" outlineLevel="1">
      <c r="A157" s="1150"/>
      <c r="B157" s="821">
        <v>8</v>
      </c>
      <c r="C157" s="371" t="s">
        <v>1685</v>
      </c>
      <c r="D157" s="31">
        <f>+VLOOKUP(E157,Codigos!$A$1:$B$1123,2,0)</f>
        <v>8560</v>
      </c>
      <c r="E157" s="1111" t="s">
        <v>1698</v>
      </c>
      <c r="F157" s="1103">
        <v>1</v>
      </c>
      <c r="G157" s="30">
        <v>198</v>
      </c>
      <c r="H157" s="1061">
        <f>CEILING(G157,'Parametros Generales'!$C$8)</f>
        <v>200</v>
      </c>
      <c r="I157" s="1057" t="s">
        <v>144</v>
      </c>
      <c r="J157" s="1058">
        <v>200</v>
      </c>
      <c r="K157" s="1070" t="str">
        <f t="shared" si="10"/>
        <v>Ok</v>
      </c>
      <c r="L157" s="1077">
        <f t="shared" si="11"/>
        <v>0</v>
      </c>
      <c r="M157" s="1090">
        <f>+H157/'Parametros Generales'!$C$8</f>
        <v>8</v>
      </c>
      <c r="N157" s="1097"/>
      <c r="O157" s="1097"/>
      <c r="P157" s="1097"/>
      <c r="Q157" s="1097"/>
      <c r="R157" s="1097">
        <f>+(M157/'Parametros Generales'!$C$9)</f>
        <v>2</v>
      </c>
      <c r="S157" s="390"/>
      <c r="T157" s="390"/>
      <c r="U157" s="390"/>
      <c r="V157" s="389"/>
      <c r="W157" s="32">
        <f>+R157*'Componentes T.H.'!$Q$9*'Parametros Generales'!C6</f>
        <v>10037014.142000001</v>
      </c>
      <c r="X157" s="32">
        <f>(+VLOOKUP(C157,'Transporte y Viaticos'!$B$87:$L$120,2,0)*'Parametros Generales'!$C$7*R157)*(2/3)</f>
        <v>1556876.9096810224</v>
      </c>
      <c r="Y157" s="417"/>
      <c r="Z157" s="417"/>
      <c r="AA157" s="417"/>
      <c r="AB157" s="417">
        <f>+M157*'Parametros Generales'!$C$6*'Parametros Generales'!$J$9</f>
        <v>3895272.7272727285</v>
      </c>
      <c r="AC157" s="417">
        <f>+H157*'Parametros Generales'!$J$10*'Parametros Generales'!$C$6*'Parametros Generales'!$C$11</f>
        <v>14738498.767401624</v>
      </c>
      <c r="AD157" s="417"/>
      <c r="AE157" s="417"/>
      <c r="AF157" s="417"/>
      <c r="AG157" s="417"/>
      <c r="AH157" s="417"/>
      <c r="AI157" s="417"/>
      <c r="AJ157" s="417"/>
      <c r="AK157" s="436"/>
      <c r="AL157" s="822"/>
    </row>
    <row r="158" spans="1:38" s="33" customFormat="1" hidden="1" outlineLevel="1">
      <c r="A158" s="1150"/>
      <c r="B158" s="821">
        <v>8</v>
      </c>
      <c r="C158" s="371" t="s">
        <v>1685</v>
      </c>
      <c r="D158" s="31">
        <f>+VLOOKUP(E158,Codigos!$A$1:$B$1123,2,0)</f>
        <v>8573</v>
      </c>
      <c r="E158" s="1111" t="s">
        <v>1699</v>
      </c>
      <c r="F158" s="1103">
        <v>1</v>
      </c>
      <c r="G158" s="30">
        <v>198</v>
      </c>
      <c r="H158" s="1061">
        <f>CEILING(G158,'Parametros Generales'!$C$8)</f>
        <v>200</v>
      </c>
      <c r="I158" s="1057" t="s">
        <v>145</v>
      </c>
      <c r="J158" s="1058">
        <v>200</v>
      </c>
      <c r="K158" s="1070" t="str">
        <f t="shared" si="10"/>
        <v>Ok</v>
      </c>
      <c r="L158" s="1077">
        <f t="shared" si="11"/>
        <v>0</v>
      </c>
      <c r="M158" s="1090">
        <f>+H158/'Parametros Generales'!$C$8</f>
        <v>8</v>
      </c>
      <c r="N158" s="1097"/>
      <c r="O158" s="1097"/>
      <c r="P158" s="1097"/>
      <c r="Q158" s="1097"/>
      <c r="R158" s="1097">
        <f>+(M158/'Parametros Generales'!$C$9)</f>
        <v>2</v>
      </c>
      <c r="S158" s="390"/>
      <c r="T158" s="390"/>
      <c r="U158" s="390"/>
      <c r="V158" s="389"/>
      <c r="W158" s="32">
        <f>+R158*'Componentes T.H.'!$Q$9*'Parametros Generales'!C6</f>
        <v>10037014.142000001</v>
      </c>
      <c r="X158" s="32">
        <f>(+VLOOKUP(C158,'Transporte y Viaticos'!$B$87:$L$120,2,0)*'Parametros Generales'!$C$7*R158)*(2/3)</f>
        <v>1556876.9096810224</v>
      </c>
      <c r="Y158" s="417"/>
      <c r="Z158" s="417"/>
      <c r="AA158" s="417"/>
      <c r="AB158" s="417">
        <f>+M158*'Parametros Generales'!$C$6*'Parametros Generales'!$J$9</f>
        <v>3895272.7272727285</v>
      </c>
      <c r="AC158" s="417">
        <f>+H158*'Parametros Generales'!$J$10*'Parametros Generales'!$C$6*'Parametros Generales'!$C$11</f>
        <v>14738498.767401624</v>
      </c>
      <c r="AD158" s="417"/>
      <c r="AE158" s="417"/>
      <c r="AF158" s="417"/>
      <c r="AG158" s="417"/>
      <c r="AH158" s="417"/>
      <c r="AI158" s="417"/>
      <c r="AJ158" s="417"/>
      <c r="AK158" s="436"/>
      <c r="AL158" s="822"/>
    </row>
    <row r="159" spans="1:38" s="33" customFormat="1" hidden="1" outlineLevel="1">
      <c r="A159" s="1150"/>
      <c r="B159" s="821">
        <v>8</v>
      </c>
      <c r="C159" s="371" t="s">
        <v>1685</v>
      </c>
      <c r="D159" s="31">
        <f>+VLOOKUP(E159,Codigos!$A$1:$B$1123,2,0)</f>
        <v>8606</v>
      </c>
      <c r="E159" s="1111" t="s">
        <v>1700</v>
      </c>
      <c r="F159" s="1103">
        <v>1</v>
      </c>
      <c r="G159" s="30">
        <v>198</v>
      </c>
      <c r="H159" s="1061">
        <f>CEILING(G159,'Parametros Generales'!$C$8)</f>
        <v>200</v>
      </c>
      <c r="I159" s="1057" t="s">
        <v>146</v>
      </c>
      <c r="J159" s="1058">
        <v>200</v>
      </c>
      <c r="K159" s="1070" t="str">
        <f t="shared" si="10"/>
        <v>Ok</v>
      </c>
      <c r="L159" s="1077">
        <f t="shared" si="11"/>
        <v>0</v>
      </c>
      <c r="M159" s="1090">
        <f>+H159/'Parametros Generales'!$C$8</f>
        <v>8</v>
      </c>
      <c r="N159" s="1097"/>
      <c r="O159" s="1097"/>
      <c r="P159" s="1097"/>
      <c r="Q159" s="1097"/>
      <c r="R159" s="1097">
        <f>+(M159/'Parametros Generales'!$C$9)</f>
        <v>2</v>
      </c>
      <c r="S159" s="390"/>
      <c r="T159" s="390"/>
      <c r="U159" s="390"/>
      <c r="V159" s="389"/>
      <c r="W159" s="32">
        <f>+R159*'Componentes T.H.'!$Q$9*'Parametros Generales'!C6</f>
        <v>10037014.142000001</v>
      </c>
      <c r="X159" s="32">
        <f>(+VLOOKUP(C159,'Transporte y Viaticos'!$B$87:$L$120,2,0)*'Parametros Generales'!$C$7*R159)*(2/3)</f>
        <v>1556876.9096810224</v>
      </c>
      <c r="Y159" s="417"/>
      <c r="Z159" s="417"/>
      <c r="AA159" s="417"/>
      <c r="AB159" s="417">
        <f>+M159*'Parametros Generales'!$C$6*'Parametros Generales'!$J$9</f>
        <v>3895272.7272727285</v>
      </c>
      <c r="AC159" s="417">
        <f>+H159*'Parametros Generales'!$J$10*'Parametros Generales'!$C$6*'Parametros Generales'!$C$11</f>
        <v>14738498.767401624</v>
      </c>
      <c r="AD159" s="417"/>
      <c r="AE159" s="417"/>
      <c r="AF159" s="417"/>
      <c r="AG159" s="417"/>
      <c r="AH159" s="417"/>
      <c r="AI159" s="417"/>
      <c r="AJ159" s="417"/>
      <c r="AK159" s="436"/>
      <c r="AL159" s="822"/>
    </row>
    <row r="160" spans="1:38" s="33" customFormat="1" hidden="1" outlineLevel="1">
      <c r="A160" s="1150"/>
      <c r="B160" s="821">
        <v>8</v>
      </c>
      <c r="C160" s="371" t="s">
        <v>1685</v>
      </c>
      <c r="D160" s="31">
        <f>+VLOOKUP(E160,Codigos!$A$1:$B$1123,2,0)</f>
        <v>8634</v>
      </c>
      <c r="E160" s="1111" t="s">
        <v>1701</v>
      </c>
      <c r="F160" s="1103">
        <v>1</v>
      </c>
      <c r="G160" s="30">
        <v>198</v>
      </c>
      <c r="H160" s="1061">
        <f>CEILING(G160,'Parametros Generales'!$C$8)</f>
        <v>200</v>
      </c>
      <c r="I160" s="1057" t="s">
        <v>147</v>
      </c>
      <c r="J160" s="1058">
        <v>200</v>
      </c>
      <c r="K160" s="1070" t="str">
        <f t="shared" si="10"/>
        <v>Ok</v>
      </c>
      <c r="L160" s="1077">
        <f t="shared" si="11"/>
        <v>0</v>
      </c>
      <c r="M160" s="1090">
        <f>+H160/'Parametros Generales'!$C$8</f>
        <v>8</v>
      </c>
      <c r="N160" s="1097"/>
      <c r="O160" s="1097"/>
      <c r="P160" s="1097"/>
      <c r="Q160" s="1097"/>
      <c r="R160" s="1097">
        <f>+(M160/'Parametros Generales'!$C$9)</f>
        <v>2</v>
      </c>
      <c r="S160" s="390"/>
      <c r="T160" s="390"/>
      <c r="U160" s="390"/>
      <c r="V160" s="389"/>
      <c r="W160" s="32">
        <f>+R160*'Componentes T.H.'!$Q$9*'Parametros Generales'!C6</f>
        <v>10037014.142000001</v>
      </c>
      <c r="X160" s="32">
        <f>(+VLOOKUP(C160,'Transporte y Viaticos'!$B$87:$L$120,2,0)*'Parametros Generales'!$C$7*R160)*(2/3)</f>
        <v>1556876.9096810224</v>
      </c>
      <c r="Y160" s="417"/>
      <c r="Z160" s="417"/>
      <c r="AA160" s="417"/>
      <c r="AB160" s="417">
        <f>+M160*'Parametros Generales'!$C$6*'Parametros Generales'!$J$9</f>
        <v>3895272.7272727285</v>
      </c>
      <c r="AC160" s="417">
        <f>+H160*'Parametros Generales'!$J$10*'Parametros Generales'!$C$6*'Parametros Generales'!$C$11</f>
        <v>14738498.767401624</v>
      </c>
      <c r="AD160" s="417"/>
      <c r="AE160" s="417"/>
      <c r="AF160" s="417"/>
      <c r="AG160" s="417"/>
      <c r="AH160" s="417"/>
      <c r="AI160" s="417"/>
      <c r="AJ160" s="417"/>
      <c r="AK160" s="436"/>
      <c r="AL160" s="822"/>
    </row>
    <row r="161" spans="1:38" s="33" customFormat="1" hidden="1" outlineLevel="1">
      <c r="A161" s="1150"/>
      <c r="B161" s="821">
        <v>8</v>
      </c>
      <c r="C161" s="371" t="s">
        <v>1685</v>
      </c>
      <c r="D161" s="31">
        <f>+VLOOKUP(E161,Codigos!$A$1:$B$1123,2,0)</f>
        <v>8638</v>
      </c>
      <c r="E161" s="1111" t="s">
        <v>1702</v>
      </c>
      <c r="F161" s="1103">
        <v>1</v>
      </c>
      <c r="G161" s="30">
        <v>198</v>
      </c>
      <c r="H161" s="1061">
        <f>CEILING(G161,'Parametros Generales'!$C$8)</f>
        <v>200</v>
      </c>
      <c r="I161" s="1057" t="s">
        <v>148</v>
      </c>
      <c r="J161" s="1058">
        <v>200</v>
      </c>
      <c r="K161" s="1070" t="str">
        <f t="shared" si="10"/>
        <v>Ok</v>
      </c>
      <c r="L161" s="1077">
        <f t="shared" si="11"/>
        <v>0</v>
      </c>
      <c r="M161" s="1090">
        <f>+H161/'Parametros Generales'!$C$8</f>
        <v>8</v>
      </c>
      <c r="N161" s="1097"/>
      <c r="O161" s="1097"/>
      <c r="P161" s="1097"/>
      <c r="Q161" s="1097"/>
      <c r="R161" s="1097">
        <f>+(M161/'Parametros Generales'!$C$9)</f>
        <v>2</v>
      </c>
      <c r="S161" s="390"/>
      <c r="T161" s="390"/>
      <c r="U161" s="390"/>
      <c r="V161" s="389"/>
      <c r="W161" s="32">
        <f>+R161*'Componentes T.H.'!$Q$9*'Parametros Generales'!C6</f>
        <v>10037014.142000001</v>
      </c>
      <c r="X161" s="32">
        <f>(+VLOOKUP(C161,'Transporte y Viaticos'!$B$87:$L$120,2,0)*'Parametros Generales'!$C$7*R161)*(2/3)</f>
        <v>1556876.9096810224</v>
      </c>
      <c r="Y161" s="417"/>
      <c r="Z161" s="417"/>
      <c r="AA161" s="417"/>
      <c r="AB161" s="417">
        <f>+M161*'Parametros Generales'!$C$6*'Parametros Generales'!$J$9</f>
        <v>3895272.7272727285</v>
      </c>
      <c r="AC161" s="417">
        <f>+H161*'Parametros Generales'!$J$10*'Parametros Generales'!$C$6*'Parametros Generales'!$C$11</f>
        <v>14738498.767401624</v>
      </c>
      <c r="AD161" s="417"/>
      <c r="AE161" s="417"/>
      <c r="AF161" s="417"/>
      <c r="AG161" s="417"/>
      <c r="AH161" s="417"/>
      <c r="AI161" s="417"/>
      <c r="AJ161" s="417"/>
      <c r="AK161" s="436"/>
      <c r="AL161" s="822"/>
    </row>
    <row r="162" spans="1:38" s="33" customFormat="1" hidden="1" outlineLevel="1">
      <c r="A162" s="1150"/>
      <c r="B162" s="821">
        <v>8</v>
      </c>
      <c r="C162" s="371" t="s">
        <v>1685</v>
      </c>
      <c r="D162" s="31">
        <f>+VLOOKUP(E162,Codigos!$A$1:$B$1123,2,0)</f>
        <v>8675</v>
      </c>
      <c r="E162" s="1111" t="s">
        <v>1703</v>
      </c>
      <c r="F162" s="1103">
        <v>1</v>
      </c>
      <c r="G162" s="30">
        <v>198</v>
      </c>
      <c r="H162" s="1061">
        <f>CEILING(G162,'Parametros Generales'!$C$8)</f>
        <v>200</v>
      </c>
      <c r="I162" s="1057" t="s">
        <v>149</v>
      </c>
      <c r="J162" s="1058">
        <v>200</v>
      </c>
      <c r="K162" s="1070" t="str">
        <f t="shared" si="10"/>
        <v>Ok</v>
      </c>
      <c r="L162" s="1077">
        <f t="shared" si="11"/>
        <v>0</v>
      </c>
      <c r="M162" s="1090">
        <f>+H162/'Parametros Generales'!$C$8</f>
        <v>8</v>
      </c>
      <c r="N162" s="1097"/>
      <c r="O162" s="1097"/>
      <c r="P162" s="1097"/>
      <c r="Q162" s="1097"/>
      <c r="R162" s="1097">
        <f>+(M162/'Parametros Generales'!$C$9)</f>
        <v>2</v>
      </c>
      <c r="S162" s="390"/>
      <c r="T162" s="390"/>
      <c r="U162" s="390"/>
      <c r="V162" s="389"/>
      <c r="W162" s="32">
        <f>+R162*'Componentes T.H.'!$Q$9*'Parametros Generales'!C6</f>
        <v>10037014.142000001</v>
      </c>
      <c r="X162" s="32">
        <f>(+VLOOKUP(C162,'Transporte y Viaticos'!$B$87:$L$120,2,0)*'Parametros Generales'!$C$7*R162)*(2/3)</f>
        <v>1556876.9096810224</v>
      </c>
      <c r="Y162" s="417"/>
      <c r="Z162" s="417"/>
      <c r="AA162" s="417"/>
      <c r="AB162" s="417">
        <f>+M162*'Parametros Generales'!$C$6*'Parametros Generales'!$J$9</f>
        <v>3895272.7272727285</v>
      </c>
      <c r="AC162" s="417">
        <f>+H162*'Parametros Generales'!$J$10*'Parametros Generales'!$C$6*'Parametros Generales'!$C$11</f>
        <v>14738498.767401624</v>
      </c>
      <c r="AD162" s="417"/>
      <c r="AE162" s="417"/>
      <c r="AF162" s="417"/>
      <c r="AG162" s="417"/>
      <c r="AH162" s="417"/>
      <c r="AI162" s="417"/>
      <c r="AJ162" s="417"/>
      <c r="AK162" s="436"/>
      <c r="AL162" s="822"/>
    </row>
    <row r="163" spans="1:38" s="33" customFormat="1" hidden="1" outlineLevel="1">
      <c r="A163" s="1150"/>
      <c r="B163" s="821">
        <v>8</v>
      </c>
      <c r="C163" s="371" t="s">
        <v>1685</v>
      </c>
      <c r="D163" s="31">
        <f>+VLOOKUP(E163,Codigos!$A$1:$B$1123,2,0)</f>
        <v>8685</v>
      </c>
      <c r="E163" s="1111" t="s">
        <v>1704</v>
      </c>
      <c r="F163" s="1103">
        <v>1</v>
      </c>
      <c r="G163" s="30">
        <v>198</v>
      </c>
      <c r="H163" s="1061">
        <f>CEILING(G163,'Parametros Generales'!$C$8)</f>
        <v>200</v>
      </c>
      <c r="I163" s="1057" t="s">
        <v>150</v>
      </c>
      <c r="J163" s="1058">
        <v>200</v>
      </c>
      <c r="K163" s="1070" t="str">
        <f t="shared" si="10"/>
        <v>Ok</v>
      </c>
      <c r="L163" s="1077">
        <f t="shared" si="11"/>
        <v>0</v>
      </c>
      <c r="M163" s="1090">
        <f>+H163/'Parametros Generales'!$C$8</f>
        <v>8</v>
      </c>
      <c r="N163" s="1097"/>
      <c r="O163" s="1097"/>
      <c r="P163" s="1097"/>
      <c r="Q163" s="1097"/>
      <c r="R163" s="1097">
        <f>+(M163/'Parametros Generales'!$C$9)</f>
        <v>2</v>
      </c>
      <c r="S163" s="390"/>
      <c r="T163" s="390"/>
      <c r="U163" s="390"/>
      <c r="V163" s="389"/>
      <c r="W163" s="32">
        <f>+R163*'Componentes T.H.'!$Q$9*'Parametros Generales'!C6</f>
        <v>10037014.142000001</v>
      </c>
      <c r="X163" s="32">
        <f>(+VLOOKUP(C163,'Transporte y Viaticos'!$B$87:$L$120,2,0)*'Parametros Generales'!$C$7*R163)*(2/3)</f>
        <v>1556876.9096810224</v>
      </c>
      <c r="Y163" s="417"/>
      <c r="Z163" s="417"/>
      <c r="AA163" s="417"/>
      <c r="AB163" s="417">
        <f>+M163*'Parametros Generales'!$C$6*'Parametros Generales'!$J$9</f>
        <v>3895272.7272727285</v>
      </c>
      <c r="AC163" s="417">
        <f>+H163*'Parametros Generales'!$J$10*'Parametros Generales'!$C$6*'Parametros Generales'!$C$11</f>
        <v>14738498.767401624</v>
      </c>
      <c r="AD163" s="417"/>
      <c r="AE163" s="417"/>
      <c r="AF163" s="417"/>
      <c r="AG163" s="417"/>
      <c r="AH163" s="417"/>
      <c r="AI163" s="417"/>
      <c r="AJ163" s="417"/>
      <c r="AK163" s="436"/>
      <c r="AL163" s="822"/>
    </row>
    <row r="164" spans="1:38" s="33" customFormat="1" hidden="1" outlineLevel="1">
      <c r="A164" s="1150"/>
      <c r="B164" s="821">
        <v>8</v>
      </c>
      <c r="C164" s="371" t="s">
        <v>1685</v>
      </c>
      <c r="D164" s="31">
        <f>+VLOOKUP(E164,Codigos!$A$1:$B$1123,2,0)</f>
        <v>8758</v>
      </c>
      <c r="E164" s="1111" t="s">
        <v>1705</v>
      </c>
      <c r="F164" s="1103">
        <v>1</v>
      </c>
      <c r="G164" s="30">
        <v>198</v>
      </c>
      <c r="H164" s="1061">
        <f>CEILING(G164,'Parametros Generales'!$C$8)</f>
        <v>200</v>
      </c>
      <c r="I164" s="1057" t="s">
        <v>151</v>
      </c>
      <c r="J164" s="1058">
        <v>200</v>
      </c>
      <c r="K164" s="1070" t="str">
        <f t="shared" si="10"/>
        <v>Ok</v>
      </c>
      <c r="L164" s="1077">
        <f t="shared" si="11"/>
        <v>0</v>
      </c>
      <c r="M164" s="1090">
        <f>+H164/'Parametros Generales'!$C$8</f>
        <v>8</v>
      </c>
      <c r="N164" s="1097"/>
      <c r="O164" s="1097"/>
      <c r="P164" s="1097"/>
      <c r="Q164" s="1097"/>
      <c r="R164" s="1097">
        <f>+(M164/'Parametros Generales'!$C$9)</f>
        <v>2</v>
      </c>
      <c r="S164" s="390"/>
      <c r="T164" s="390"/>
      <c r="U164" s="390"/>
      <c r="V164" s="389"/>
      <c r="W164" s="32">
        <f>+R164*'Componentes T.H.'!$Q$9*'Parametros Generales'!C6</f>
        <v>10037014.142000001</v>
      </c>
      <c r="X164" s="32">
        <f>(+VLOOKUP(C164,'Transporte y Viaticos'!$B$87:$L$120,2,0)*'Parametros Generales'!$C$7*R164)*(2/3)</f>
        <v>1556876.9096810224</v>
      </c>
      <c r="Y164" s="417"/>
      <c r="Z164" s="417"/>
      <c r="AA164" s="417"/>
      <c r="AB164" s="417">
        <f>+M164*'Parametros Generales'!$C$6*'Parametros Generales'!$J$9</f>
        <v>3895272.7272727285</v>
      </c>
      <c r="AC164" s="417">
        <f>+H164*'Parametros Generales'!$J$10*'Parametros Generales'!$C$6*'Parametros Generales'!$C$11</f>
        <v>14738498.767401624</v>
      </c>
      <c r="AD164" s="417"/>
      <c r="AE164" s="417"/>
      <c r="AF164" s="417"/>
      <c r="AG164" s="417"/>
      <c r="AH164" s="417"/>
      <c r="AI164" s="417"/>
      <c r="AJ164" s="417"/>
      <c r="AK164" s="436"/>
      <c r="AL164" s="822"/>
    </row>
    <row r="165" spans="1:38" s="33" customFormat="1" hidden="1" outlineLevel="1">
      <c r="A165" s="1150"/>
      <c r="B165" s="821">
        <v>8</v>
      </c>
      <c r="C165" s="371" t="s">
        <v>1685</v>
      </c>
      <c r="D165" s="31">
        <f>+VLOOKUP(E165,Codigos!$A$1:$B$1123,2,0)</f>
        <v>8770</v>
      </c>
      <c r="E165" s="1111" t="s">
        <v>1706</v>
      </c>
      <c r="F165" s="1103">
        <v>1</v>
      </c>
      <c r="G165" s="30">
        <v>198</v>
      </c>
      <c r="H165" s="1061">
        <f>CEILING(G165,'Parametros Generales'!$C$8)</f>
        <v>200</v>
      </c>
      <c r="I165" s="1057" t="s">
        <v>152</v>
      </c>
      <c r="J165" s="1058">
        <v>200</v>
      </c>
      <c r="K165" s="1070" t="str">
        <f t="shared" si="10"/>
        <v>Ok</v>
      </c>
      <c r="L165" s="1077">
        <f t="shared" si="11"/>
        <v>0</v>
      </c>
      <c r="M165" s="1090">
        <f>+H165/'Parametros Generales'!$C$8</f>
        <v>8</v>
      </c>
      <c r="N165" s="1097"/>
      <c r="O165" s="1097"/>
      <c r="P165" s="1097"/>
      <c r="Q165" s="1097"/>
      <c r="R165" s="1097">
        <f>+(M165/'Parametros Generales'!$C$9)</f>
        <v>2</v>
      </c>
      <c r="S165" s="390"/>
      <c r="T165" s="390"/>
      <c r="U165" s="390"/>
      <c r="V165" s="389"/>
      <c r="W165" s="32">
        <f>+R165*'Componentes T.H.'!$Q$9*'Parametros Generales'!C6</f>
        <v>10037014.142000001</v>
      </c>
      <c r="X165" s="32">
        <f>(+VLOOKUP(C165,'Transporte y Viaticos'!$B$87:$L$120,2,0)*'Parametros Generales'!$C$7*R165)*(2/3)</f>
        <v>1556876.9096810224</v>
      </c>
      <c r="Y165" s="417"/>
      <c r="Z165" s="417"/>
      <c r="AA165" s="417"/>
      <c r="AB165" s="417">
        <f>+M165*'Parametros Generales'!$C$6*'Parametros Generales'!$J$9</f>
        <v>3895272.7272727285</v>
      </c>
      <c r="AC165" s="417">
        <f>+H165*'Parametros Generales'!$J$10*'Parametros Generales'!$C$6*'Parametros Generales'!$C$11</f>
        <v>14738498.767401624</v>
      </c>
      <c r="AD165" s="417"/>
      <c r="AE165" s="417"/>
      <c r="AF165" s="417"/>
      <c r="AG165" s="417"/>
      <c r="AH165" s="417"/>
      <c r="AI165" s="417"/>
      <c r="AJ165" s="417"/>
      <c r="AK165" s="436"/>
      <c r="AL165" s="822"/>
    </row>
    <row r="166" spans="1:38" s="33" customFormat="1" hidden="1" outlineLevel="1">
      <c r="A166" s="1150"/>
      <c r="B166" s="821">
        <v>8</v>
      </c>
      <c r="C166" s="371" t="s">
        <v>1685</v>
      </c>
      <c r="D166" s="31">
        <f>+VLOOKUP(E166,Codigos!$A$1:$B$1123,2,0)</f>
        <v>8832</v>
      </c>
      <c r="E166" s="1111" t="s">
        <v>1707</v>
      </c>
      <c r="F166" s="1103">
        <v>1</v>
      </c>
      <c r="G166" s="30">
        <v>198</v>
      </c>
      <c r="H166" s="1061">
        <f>CEILING(G166,'Parametros Generales'!$C$8)</f>
        <v>200</v>
      </c>
      <c r="I166" s="1057" t="s">
        <v>153</v>
      </c>
      <c r="J166" s="1058">
        <v>200</v>
      </c>
      <c r="K166" s="1070" t="str">
        <f t="shared" si="10"/>
        <v>Ok</v>
      </c>
      <c r="L166" s="1077">
        <f t="shared" si="11"/>
        <v>0</v>
      </c>
      <c r="M166" s="1090">
        <f>+H166/'Parametros Generales'!$C$8</f>
        <v>8</v>
      </c>
      <c r="N166" s="1097"/>
      <c r="O166" s="1097"/>
      <c r="P166" s="1097"/>
      <c r="Q166" s="1097"/>
      <c r="R166" s="1097">
        <f>+(M166/'Parametros Generales'!$C$9)</f>
        <v>2</v>
      </c>
      <c r="S166" s="390"/>
      <c r="T166" s="390"/>
      <c r="U166" s="390"/>
      <c r="V166" s="389"/>
      <c r="W166" s="32">
        <f>+R166*'Componentes T.H.'!$Q$9*'Parametros Generales'!C6</f>
        <v>10037014.142000001</v>
      </c>
      <c r="X166" s="32">
        <f>(+VLOOKUP(C166,'Transporte y Viaticos'!$B$87:$L$120,2,0)*'Parametros Generales'!$C$7*R166)*(2/3)</f>
        <v>1556876.9096810224</v>
      </c>
      <c r="Y166" s="417"/>
      <c r="Z166" s="417"/>
      <c r="AA166" s="417"/>
      <c r="AB166" s="417">
        <f>+M166*'Parametros Generales'!$C$6*'Parametros Generales'!$J$9</f>
        <v>3895272.7272727285</v>
      </c>
      <c r="AC166" s="417">
        <f>+H166*'Parametros Generales'!$J$10*'Parametros Generales'!$C$6*'Parametros Generales'!$C$11</f>
        <v>14738498.767401624</v>
      </c>
      <c r="AD166" s="417"/>
      <c r="AE166" s="417"/>
      <c r="AF166" s="417"/>
      <c r="AG166" s="417"/>
      <c r="AH166" s="417"/>
      <c r="AI166" s="417"/>
      <c r="AJ166" s="417"/>
      <c r="AK166" s="436"/>
      <c r="AL166" s="822"/>
    </row>
    <row r="167" spans="1:38" s="33" customFormat="1" hidden="1" outlineLevel="1">
      <c r="A167" s="1150"/>
      <c r="B167" s="823">
        <v>8</v>
      </c>
      <c r="C167" s="373" t="s">
        <v>1685</v>
      </c>
      <c r="D167" s="374">
        <f>+VLOOKUP(E167,Codigos!$A$1:$B$1123,2,0)</f>
        <v>8849</v>
      </c>
      <c r="E167" s="1113" t="s">
        <v>1708</v>
      </c>
      <c r="F167" s="1104">
        <v>1</v>
      </c>
      <c r="G167" s="375">
        <v>198</v>
      </c>
      <c r="H167" s="1062">
        <f>CEILING(G167,'Parametros Generales'!$C$8)</f>
        <v>200</v>
      </c>
      <c r="I167" s="1057" t="s">
        <v>154</v>
      </c>
      <c r="J167" s="1058">
        <v>200</v>
      </c>
      <c r="K167" s="1070" t="str">
        <f t="shared" si="10"/>
        <v>Ok</v>
      </c>
      <c r="L167" s="1077">
        <f t="shared" si="11"/>
        <v>0</v>
      </c>
      <c r="M167" s="1091">
        <f>+H167/'Parametros Generales'!$C$8</f>
        <v>8</v>
      </c>
      <c r="N167" s="1098"/>
      <c r="O167" s="1098"/>
      <c r="P167" s="1098"/>
      <c r="Q167" s="1098"/>
      <c r="R167" s="1098">
        <f>+(M167/'Parametros Generales'!$C$9)</f>
        <v>2</v>
      </c>
      <c r="S167" s="395"/>
      <c r="T167" s="395"/>
      <c r="U167" s="395"/>
      <c r="V167" s="396"/>
      <c r="W167" s="376">
        <f>+R167*'Componentes T.H.'!$Q$9*'Parametros Generales'!$C$6</f>
        <v>10037014.142000001</v>
      </c>
      <c r="X167" s="376">
        <f>(+VLOOKUP(C167,'Transporte y Viaticos'!$B$87:$L$120,2,0)*'Parametros Generales'!$C$7*R167)*(2/3)</f>
        <v>1556876.9096810224</v>
      </c>
      <c r="Y167" s="417"/>
      <c r="Z167" s="417"/>
      <c r="AA167" s="417"/>
      <c r="AB167" s="417">
        <f>+M167*'Parametros Generales'!$C$6*'Parametros Generales'!$J$9</f>
        <v>3895272.7272727285</v>
      </c>
      <c r="AC167" s="417">
        <f>+H167*'Parametros Generales'!$J$10*'Parametros Generales'!$C$6*'Parametros Generales'!$C$11</f>
        <v>14738498.767401624</v>
      </c>
      <c r="AD167" s="417"/>
      <c r="AE167" s="417"/>
      <c r="AF167" s="417"/>
      <c r="AG167" s="417"/>
      <c r="AH167" s="417"/>
      <c r="AI167" s="417"/>
      <c r="AJ167" s="417"/>
      <c r="AK167" s="436"/>
      <c r="AL167" s="822"/>
    </row>
    <row r="168" spans="1:38" s="33" customFormat="1" hidden="1" outlineLevel="1">
      <c r="A168" s="1150"/>
      <c r="B168" s="823">
        <v>8</v>
      </c>
      <c r="C168" s="373" t="str">
        <f t="shared" ref="C168:C184" si="14">+C167</f>
        <v>ATLÁNTICO</v>
      </c>
      <c r="D168" s="374"/>
      <c r="E168" s="1113"/>
      <c r="F168" s="1104"/>
      <c r="G168" s="375"/>
      <c r="H168" s="1062"/>
      <c r="I168" s="1057"/>
      <c r="J168" s="1058"/>
      <c r="K168" s="1070" t="str">
        <f t="shared" si="10"/>
        <v>Ok</v>
      </c>
      <c r="L168" s="1077">
        <f t="shared" si="11"/>
        <v>0</v>
      </c>
      <c r="M168" s="1091">
        <f>+H168/'Parametros Generales'!$C$8</f>
        <v>0</v>
      </c>
      <c r="N168" s="1098"/>
      <c r="O168" s="1098"/>
      <c r="P168" s="1098"/>
      <c r="Q168" s="1098"/>
      <c r="R168" s="1098">
        <f>+(M168/'Parametros Generales'!$C$9)</f>
        <v>0</v>
      </c>
      <c r="S168" s="395"/>
      <c r="T168" s="395"/>
      <c r="U168" s="395"/>
      <c r="V168" s="396"/>
      <c r="W168" s="376">
        <f>+R168*'Componentes T.H.'!$Q$9*'Parametros Generales'!$C$6</f>
        <v>0</v>
      </c>
      <c r="X168" s="376">
        <f>(+VLOOKUP(C168,'Transporte y Viaticos'!$B$87:$L$120,2,0)*'Parametros Generales'!$C$7*R168)*(2/3)</f>
        <v>0</v>
      </c>
      <c r="Y168" s="417"/>
      <c r="Z168" s="417"/>
      <c r="AA168" s="417"/>
      <c r="AB168" s="417">
        <f>+M168*'Parametros Generales'!$C$6*'Parametros Generales'!$J$9</f>
        <v>0</v>
      </c>
      <c r="AC168" s="417">
        <f>+H168*'Parametros Generales'!$J$10*'Parametros Generales'!$C$6*'Parametros Generales'!$C$11</f>
        <v>0</v>
      </c>
      <c r="AD168" s="417"/>
      <c r="AE168" s="417"/>
      <c r="AF168" s="417"/>
      <c r="AG168" s="417"/>
      <c r="AH168" s="417"/>
      <c r="AI168" s="417"/>
      <c r="AJ168" s="417"/>
      <c r="AK168" s="436"/>
      <c r="AL168" s="822"/>
    </row>
    <row r="169" spans="1:38" s="33" customFormat="1" hidden="1" outlineLevel="1">
      <c r="A169" s="1150"/>
      <c r="B169" s="823">
        <v>8</v>
      </c>
      <c r="C169" s="373" t="str">
        <f t="shared" si="14"/>
        <v>ATLÁNTICO</v>
      </c>
      <c r="D169" s="374"/>
      <c r="E169" s="1113"/>
      <c r="F169" s="1104"/>
      <c r="G169" s="375"/>
      <c r="H169" s="1062"/>
      <c r="I169" s="1057"/>
      <c r="J169" s="1058"/>
      <c r="K169" s="1070" t="str">
        <f t="shared" si="10"/>
        <v>Ok</v>
      </c>
      <c r="L169" s="1077">
        <f t="shared" si="11"/>
        <v>0</v>
      </c>
      <c r="M169" s="1091">
        <f>+H169/'Parametros Generales'!$C$8</f>
        <v>0</v>
      </c>
      <c r="N169" s="1098"/>
      <c r="O169" s="1098"/>
      <c r="P169" s="1098"/>
      <c r="Q169" s="1098"/>
      <c r="R169" s="1098">
        <f>+(M169/'Parametros Generales'!$C$9)</f>
        <v>0</v>
      </c>
      <c r="S169" s="395"/>
      <c r="T169" s="395"/>
      <c r="U169" s="395"/>
      <c r="V169" s="396"/>
      <c r="W169" s="376">
        <f>+R169*'Componentes T.H.'!$Q$9*'Parametros Generales'!$C$6</f>
        <v>0</v>
      </c>
      <c r="X169" s="376">
        <f>(+VLOOKUP(C169,'Transporte y Viaticos'!$B$87:$L$120,2,0)*'Parametros Generales'!$C$7*R169)*(2/3)</f>
        <v>0</v>
      </c>
      <c r="Y169" s="417"/>
      <c r="Z169" s="417"/>
      <c r="AA169" s="417"/>
      <c r="AB169" s="417">
        <f>+M169*'Parametros Generales'!$C$6*'Parametros Generales'!$J$9</f>
        <v>0</v>
      </c>
      <c r="AC169" s="417">
        <f>+H169*'Parametros Generales'!$J$10*'Parametros Generales'!$C$6*'Parametros Generales'!$C$11</f>
        <v>0</v>
      </c>
      <c r="AD169" s="417"/>
      <c r="AE169" s="417"/>
      <c r="AF169" s="417"/>
      <c r="AG169" s="417"/>
      <c r="AH169" s="417"/>
      <c r="AI169" s="417"/>
      <c r="AJ169" s="417"/>
      <c r="AK169" s="436"/>
      <c r="AL169" s="822"/>
    </row>
    <row r="170" spans="1:38" s="33" customFormat="1" hidden="1" outlineLevel="1">
      <c r="A170" s="1150"/>
      <c r="B170" s="823">
        <v>8</v>
      </c>
      <c r="C170" s="373" t="str">
        <f t="shared" si="14"/>
        <v>ATLÁNTICO</v>
      </c>
      <c r="D170" s="374"/>
      <c r="E170" s="1113"/>
      <c r="F170" s="1104"/>
      <c r="G170" s="375"/>
      <c r="H170" s="1062"/>
      <c r="I170" s="1057"/>
      <c r="J170" s="1058"/>
      <c r="K170" s="1070" t="str">
        <f t="shared" si="10"/>
        <v>Ok</v>
      </c>
      <c r="L170" s="1077">
        <f t="shared" si="11"/>
        <v>0</v>
      </c>
      <c r="M170" s="1091">
        <f>+H170/'Parametros Generales'!$C$8</f>
        <v>0</v>
      </c>
      <c r="N170" s="1098"/>
      <c r="O170" s="1098"/>
      <c r="P170" s="1098"/>
      <c r="Q170" s="1098"/>
      <c r="R170" s="1098">
        <f>+(M170/'Parametros Generales'!$C$9)</f>
        <v>0</v>
      </c>
      <c r="S170" s="395"/>
      <c r="T170" s="395"/>
      <c r="U170" s="395"/>
      <c r="V170" s="396"/>
      <c r="W170" s="376">
        <f>+R170*'Componentes T.H.'!$Q$9*'Parametros Generales'!$C$6</f>
        <v>0</v>
      </c>
      <c r="X170" s="376">
        <f>(+VLOOKUP(C170,'Transporte y Viaticos'!$B$87:$L$120,2,0)*'Parametros Generales'!$C$7*R170)*(2/3)</f>
        <v>0</v>
      </c>
      <c r="Y170" s="417"/>
      <c r="Z170" s="417"/>
      <c r="AA170" s="417"/>
      <c r="AB170" s="417">
        <f>+M170*'Parametros Generales'!$C$6*'Parametros Generales'!$J$9</f>
        <v>0</v>
      </c>
      <c r="AC170" s="417">
        <f>+H170*'Parametros Generales'!$J$10*'Parametros Generales'!$C$6*'Parametros Generales'!$C$11</f>
        <v>0</v>
      </c>
      <c r="AD170" s="417"/>
      <c r="AE170" s="417"/>
      <c r="AF170" s="417"/>
      <c r="AG170" s="417"/>
      <c r="AH170" s="417"/>
      <c r="AI170" s="417"/>
      <c r="AJ170" s="417"/>
      <c r="AK170" s="436"/>
      <c r="AL170" s="822"/>
    </row>
    <row r="171" spans="1:38" s="33" customFormat="1" hidden="1" outlineLevel="1">
      <c r="A171" s="1150"/>
      <c r="B171" s="823">
        <v>8</v>
      </c>
      <c r="C171" s="373" t="str">
        <f t="shared" si="14"/>
        <v>ATLÁNTICO</v>
      </c>
      <c r="D171" s="374"/>
      <c r="E171" s="1113"/>
      <c r="F171" s="1104"/>
      <c r="G171" s="375"/>
      <c r="H171" s="1062"/>
      <c r="I171" s="1057"/>
      <c r="J171" s="1058"/>
      <c r="K171" s="1070" t="str">
        <f t="shared" si="10"/>
        <v>Ok</v>
      </c>
      <c r="L171" s="1077">
        <f t="shared" si="11"/>
        <v>0</v>
      </c>
      <c r="M171" s="1091">
        <f>+H171/'Parametros Generales'!$C$8</f>
        <v>0</v>
      </c>
      <c r="N171" s="1098"/>
      <c r="O171" s="1098"/>
      <c r="P171" s="1098"/>
      <c r="Q171" s="1098"/>
      <c r="R171" s="1098">
        <f>+(M171/'Parametros Generales'!$C$9)</f>
        <v>0</v>
      </c>
      <c r="S171" s="395"/>
      <c r="T171" s="395"/>
      <c r="U171" s="395"/>
      <c r="V171" s="396"/>
      <c r="W171" s="376">
        <f>+R171*'Componentes T.H.'!$Q$9*'Parametros Generales'!$C$6</f>
        <v>0</v>
      </c>
      <c r="X171" s="376">
        <f>(+VLOOKUP(C171,'Transporte y Viaticos'!$B$87:$L$120,2,0)*'Parametros Generales'!$C$7*R171)*(2/3)</f>
        <v>0</v>
      </c>
      <c r="Y171" s="417"/>
      <c r="Z171" s="417"/>
      <c r="AA171" s="417"/>
      <c r="AB171" s="417">
        <f>+M171*'Parametros Generales'!$C$6*'Parametros Generales'!$J$9</f>
        <v>0</v>
      </c>
      <c r="AC171" s="417">
        <f>+H171*'Parametros Generales'!$J$10*'Parametros Generales'!$C$6*'Parametros Generales'!$C$11</f>
        <v>0</v>
      </c>
      <c r="AD171" s="417"/>
      <c r="AE171" s="417"/>
      <c r="AF171" s="417"/>
      <c r="AG171" s="417"/>
      <c r="AH171" s="417"/>
      <c r="AI171" s="417"/>
      <c r="AJ171" s="417"/>
      <c r="AK171" s="436"/>
      <c r="AL171" s="822"/>
    </row>
    <row r="172" spans="1:38" s="33" customFormat="1" hidden="1" outlineLevel="1">
      <c r="A172" s="1150"/>
      <c r="B172" s="823">
        <v>8</v>
      </c>
      <c r="C172" s="373" t="str">
        <f t="shared" si="14"/>
        <v>ATLÁNTICO</v>
      </c>
      <c r="D172" s="374"/>
      <c r="E172" s="1113"/>
      <c r="F172" s="1104"/>
      <c r="G172" s="375"/>
      <c r="H172" s="1062"/>
      <c r="I172" s="1057"/>
      <c r="J172" s="1058"/>
      <c r="K172" s="1070" t="str">
        <f t="shared" si="10"/>
        <v>Ok</v>
      </c>
      <c r="L172" s="1077">
        <f t="shared" si="11"/>
        <v>0</v>
      </c>
      <c r="M172" s="1091">
        <f>+H172/'Parametros Generales'!$C$8</f>
        <v>0</v>
      </c>
      <c r="N172" s="1098"/>
      <c r="O172" s="1098"/>
      <c r="P172" s="1098"/>
      <c r="Q172" s="1098"/>
      <c r="R172" s="1098">
        <f>+(M172/'Parametros Generales'!$C$9)</f>
        <v>0</v>
      </c>
      <c r="S172" s="395"/>
      <c r="T172" s="395"/>
      <c r="U172" s="395"/>
      <c r="V172" s="396"/>
      <c r="W172" s="376">
        <f>+R172*'Componentes T.H.'!$Q$9*'Parametros Generales'!$C$6</f>
        <v>0</v>
      </c>
      <c r="X172" s="376">
        <f>(+VLOOKUP(C172,'Transporte y Viaticos'!$B$87:$L$120,2,0)*'Parametros Generales'!$C$7*R172)*(2/3)</f>
        <v>0</v>
      </c>
      <c r="Y172" s="417"/>
      <c r="Z172" s="417"/>
      <c r="AA172" s="417"/>
      <c r="AB172" s="417">
        <f>+M172*'Parametros Generales'!$C$6*'Parametros Generales'!$J$9</f>
        <v>0</v>
      </c>
      <c r="AC172" s="417">
        <f>+H172*'Parametros Generales'!$J$10*'Parametros Generales'!$C$6*'Parametros Generales'!$C$11</f>
        <v>0</v>
      </c>
      <c r="AD172" s="417"/>
      <c r="AE172" s="417"/>
      <c r="AF172" s="417"/>
      <c r="AG172" s="417"/>
      <c r="AH172" s="417"/>
      <c r="AI172" s="417"/>
      <c r="AJ172" s="417"/>
      <c r="AK172" s="436"/>
      <c r="AL172" s="822"/>
    </row>
    <row r="173" spans="1:38" s="33" customFormat="1" hidden="1" outlineLevel="1">
      <c r="A173" s="1150"/>
      <c r="B173" s="823">
        <v>8</v>
      </c>
      <c r="C173" s="373" t="str">
        <f t="shared" si="14"/>
        <v>ATLÁNTICO</v>
      </c>
      <c r="D173" s="374"/>
      <c r="E173" s="1113"/>
      <c r="F173" s="1104"/>
      <c r="G173" s="375"/>
      <c r="H173" s="1062"/>
      <c r="I173" s="1057"/>
      <c r="J173" s="1058"/>
      <c r="K173" s="1070" t="str">
        <f t="shared" si="10"/>
        <v>Ok</v>
      </c>
      <c r="L173" s="1077">
        <f t="shared" si="11"/>
        <v>0</v>
      </c>
      <c r="M173" s="1091">
        <f>+H173/'Parametros Generales'!$C$8</f>
        <v>0</v>
      </c>
      <c r="N173" s="1098"/>
      <c r="O173" s="1098"/>
      <c r="P173" s="1098"/>
      <c r="Q173" s="1098"/>
      <c r="R173" s="1098">
        <f>+(M173/'Parametros Generales'!$C$9)</f>
        <v>0</v>
      </c>
      <c r="S173" s="395"/>
      <c r="T173" s="395"/>
      <c r="U173" s="395"/>
      <c r="V173" s="396"/>
      <c r="W173" s="376">
        <f>+R173*'Componentes T.H.'!$Q$9*'Parametros Generales'!$C$6</f>
        <v>0</v>
      </c>
      <c r="X173" s="376">
        <f>(+VLOOKUP(C173,'Transporte y Viaticos'!$B$87:$L$120,2,0)*'Parametros Generales'!$C$7*R173)*(2/3)</f>
        <v>0</v>
      </c>
      <c r="Y173" s="417"/>
      <c r="Z173" s="417"/>
      <c r="AA173" s="417"/>
      <c r="AB173" s="417">
        <f>+M173*'Parametros Generales'!$C$6*'Parametros Generales'!$J$9</f>
        <v>0</v>
      </c>
      <c r="AC173" s="417">
        <f>+H173*'Parametros Generales'!$J$10*'Parametros Generales'!$C$6*'Parametros Generales'!$C$11</f>
        <v>0</v>
      </c>
      <c r="AD173" s="417"/>
      <c r="AE173" s="417"/>
      <c r="AF173" s="417"/>
      <c r="AG173" s="417"/>
      <c r="AH173" s="417"/>
      <c r="AI173" s="417"/>
      <c r="AJ173" s="417"/>
      <c r="AK173" s="436"/>
      <c r="AL173" s="822"/>
    </row>
    <row r="174" spans="1:38" s="33" customFormat="1" hidden="1" outlineLevel="1">
      <c r="A174" s="1150"/>
      <c r="B174" s="823">
        <v>8</v>
      </c>
      <c r="C174" s="373" t="str">
        <f t="shared" si="14"/>
        <v>ATLÁNTICO</v>
      </c>
      <c r="D174" s="374"/>
      <c r="E174" s="1113"/>
      <c r="F174" s="1104"/>
      <c r="G174" s="375"/>
      <c r="H174" s="1062"/>
      <c r="I174" s="1057"/>
      <c r="J174" s="1058"/>
      <c r="K174" s="1070" t="str">
        <f t="shared" si="10"/>
        <v>Ok</v>
      </c>
      <c r="L174" s="1077">
        <f t="shared" si="11"/>
        <v>0</v>
      </c>
      <c r="M174" s="1091">
        <f>+H174/'Parametros Generales'!$C$8</f>
        <v>0</v>
      </c>
      <c r="N174" s="1098"/>
      <c r="O174" s="1098"/>
      <c r="P174" s="1098"/>
      <c r="Q174" s="1098"/>
      <c r="R174" s="1098">
        <f>+(M174/'Parametros Generales'!$C$9)</f>
        <v>0</v>
      </c>
      <c r="S174" s="395"/>
      <c r="T174" s="395"/>
      <c r="U174" s="395"/>
      <c r="V174" s="396"/>
      <c r="W174" s="376">
        <f>+R174*'Componentes T.H.'!$Q$9*'Parametros Generales'!$C$6</f>
        <v>0</v>
      </c>
      <c r="X174" s="376">
        <f>(+VLOOKUP(C174,'Transporte y Viaticos'!$B$87:$L$120,2,0)*'Parametros Generales'!$C$7*R174)*(2/3)</f>
        <v>0</v>
      </c>
      <c r="Y174" s="417"/>
      <c r="Z174" s="417"/>
      <c r="AA174" s="417"/>
      <c r="AB174" s="417">
        <f>+M174*'Parametros Generales'!$C$6*'Parametros Generales'!$J$9</f>
        <v>0</v>
      </c>
      <c r="AC174" s="417">
        <f>+H174*'Parametros Generales'!$J$10*'Parametros Generales'!$C$6*'Parametros Generales'!$C$11</f>
        <v>0</v>
      </c>
      <c r="AD174" s="417"/>
      <c r="AE174" s="417"/>
      <c r="AF174" s="417"/>
      <c r="AG174" s="417"/>
      <c r="AH174" s="417"/>
      <c r="AI174" s="417"/>
      <c r="AJ174" s="417"/>
      <c r="AK174" s="436"/>
      <c r="AL174" s="822"/>
    </row>
    <row r="175" spans="1:38" s="33" customFormat="1" hidden="1" outlineLevel="1">
      <c r="A175" s="1150"/>
      <c r="B175" s="823">
        <v>8</v>
      </c>
      <c r="C175" s="373" t="str">
        <f t="shared" si="14"/>
        <v>ATLÁNTICO</v>
      </c>
      <c r="D175" s="374"/>
      <c r="E175" s="1113"/>
      <c r="F175" s="1104"/>
      <c r="G175" s="375"/>
      <c r="H175" s="1062"/>
      <c r="I175" s="1057"/>
      <c r="J175" s="1058"/>
      <c r="K175" s="1070" t="str">
        <f t="shared" si="10"/>
        <v>Ok</v>
      </c>
      <c r="L175" s="1077">
        <f t="shared" si="11"/>
        <v>0</v>
      </c>
      <c r="M175" s="1091">
        <f>+H175/'Parametros Generales'!$C$8</f>
        <v>0</v>
      </c>
      <c r="N175" s="1098"/>
      <c r="O175" s="1098"/>
      <c r="P175" s="1098"/>
      <c r="Q175" s="1098"/>
      <c r="R175" s="1098">
        <f>+(M175/'Parametros Generales'!$C$9)</f>
        <v>0</v>
      </c>
      <c r="S175" s="395"/>
      <c r="T175" s="395"/>
      <c r="U175" s="395"/>
      <c r="V175" s="396"/>
      <c r="W175" s="376">
        <f>+R175*'Componentes T.H.'!$Q$9*'Parametros Generales'!$C$6</f>
        <v>0</v>
      </c>
      <c r="X175" s="376">
        <f>(+VLOOKUP(C175,'Transporte y Viaticos'!$B$87:$L$120,2,0)*'Parametros Generales'!$C$7*R175)*(2/3)</f>
        <v>0</v>
      </c>
      <c r="Y175" s="417"/>
      <c r="Z175" s="417"/>
      <c r="AA175" s="417"/>
      <c r="AB175" s="417">
        <f>+M175*'Parametros Generales'!$C$6*'Parametros Generales'!$J$9</f>
        <v>0</v>
      </c>
      <c r="AC175" s="417">
        <f>+H175*'Parametros Generales'!$J$10*'Parametros Generales'!$C$6*'Parametros Generales'!$C$11</f>
        <v>0</v>
      </c>
      <c r="AD175" s="417"/>
      <c r="AE175" s="417"/>
      <c r="AF175" s="417"/>
      <c r="AG175" s="417"/>
      <c r="AH175" s="417"/>
      <c r="AI175" s="417"/>
      <c r="AJ175" s="417"/>
      <c r="AK175" s="436"/>
      <c r="AL175" s="822"/>
    </row>
    <row r="176" spans="1:38" s="33" customFormat="1" hidden="1" outlineLevel="1">
      <c r="A176" s="1150"/>
      <c r="B176" s="823">
        <v>8</v>
      </c>
      <c r="C176" s="373" t="str">
        <f t="shared" si="14"/>
        <v>ATLÁNTICO</v>
      </c>
      <c r="D176" s="374"/>
      <c r="E176" s="1113"/>
      <c r="F176" s="1104"/>
      <c r="G176" s="375"/>
      <c r="H176" s="1062"/>
      <c r="I176" s="1057"/>
      <c r="J176" s="1058"/>
      <c r="K176" s="1070" t="str">
        <f t="shared" si="10"/>
        <v>Ok</v>
      </c>
      <c r="L176" s="1077">
        <f t="shared" si="11"/>
        <v>0</v>
      </c>
      <c r="M176" s="1091">
        <f>+H176/'Parametros Generales'!$C$8</f>
        <v>0</v>
      </c>
      <c r="N176" s="1098"/>
      <c r="O176" s="1098"/>
      <c r="P176" s="1098"/>
      <c r="Q176" s="1098"/>
      <c r="R176" s="1098">
        <f>+(M176/'Parametros Generales'!$C$9)</f>
        <v>0</v>
      </c>
      <c r="S176" s="395"/>
      <c r="T176" s="395"/>
      <c r="U176" s="395"/>
      <c r="V176" s="396"/>
      <c r="W176" s="376">
        <f>+R176*'Componentes T.H.'!$Q$9*'Parametros Generales'!$C$6</f>
        <v>0</v>
      </c>
      <c r="X176" s="376">
        <f>(+VLOOKUP(C176,'Transporte y Viaticos'!$B$87:$L$120,2,0)*'Parametros Generales'!$C$7*R176)*(2/3)</f>
        <v>0</v>
      </c>
      <c r="Y176" s="417"/>
      <c r="Z176" s="417"/>
      <c r="AA176" s="417"/>
      <c r="AB176" s="417">
        <f>+M176*'Parametros Generales'!$C$6*'Parametros Generales'!$J$9</f>
        <v>0</v>
      </c>
      <c r="AC176" s="417">
        <f>+H176*'Parametros Generales'!$J$10*'Parametros Generales'!$C$6*'Parametros Generales'!$C$11</f>
        <v>0</v>
      </c>
      <c r="AD176" s="417"/>
      <c r="AE176" s="417"/>
      <c r="AF176" s="417"/>
      <c r="AG176" s="417"/>
      <c r="AH176" s="417"/>
      <c r="AI176" s="417"/>
      <c r="AJ176" s="417"/>
      <c r="AK176" s="436"/>
      <c r="AL176" s="822"/>
    </row>
    <row r="177" spans="1:38" s="33" customFormat="1" hidden="1" outlineLevel="1">
      <c r="A177" s="1150"/>
      <c r="B177" s="823">
        <v>8</v>
      </c>
      <c r="C177" s="373" t="str">
        <f t="shared" si="14"/>
        <v>ATLÁNTICO</v>
      </c>
      <c r="D177" s="374"/>
      <c r="E177" s="1113"/>
      <c r="F177" s="1104"/>
      <c r="G177" s="375"/>
      <c r="H177" s="1062"/>
      <c r="I177" s="1057"/>
      <c r="J177" s="1058"/>
      <c r="K177" s="1070" t="str">
        <f t="shared" si="10"/>
        <v>Ok</v>
      </c>
      <c r="L177" s="1077">
        <f t="shared" si="11"/>
        <v>0</v>
      </c>
      <c r="M177" s="1091">
        <f>+H177/'Parametros Generales'!$C$8</f>
        <v>0</v>
      </c>
      <c r="N177" s="1098"/>
      <c r="O177" s="1098"/>
      <c r="P177" s="1098"/>
      <c r="Q177" s="1098"/>
      <c r="R177" s="1098">
        <f>+(M177/'Parametros Generales'!$C$9)</f>
        <v>0</v>
      </c>
      <c r="S177" s="395"/>
      <c r="T177" s="395"/>
      <c r="U177" s="395"/>
      <c r="V177" s="396"/>
      <c r="W177" s="376">
        <f>+R177*'Componentes T.H.'!$Q$9*'Parametros Generales'!$C$6</f>
        <v>0</v>
      </c>
      <c r="X177" s="376">
        <f>(+VLOOKUP(C177,'Transporte y Viaticos'!$B$87:$L$120,2,0)*'Parametros Generales'!$C$7*R177)*(2/3)</f>
        <v>0</v>
      </c>
      <c r="Y177" s="417"/>
      <c r="Z177" s="417"/>
      <c r="AA177" s="417"/>
      <c r="AB177" s="417">
        <f>+M177*'Parametros Generales'!$C$6*'Parametros Generales'!$J$9</f>
        <v>0</v>
      </c>
      <c r="AC177" s="417">
        <f>+H177*'Parametros Generales'!$J$10*'Parametros Generales'!$C$6*'Parametros Generales'!$C$11</f>
        <v>0</v>
      </c>
      <c r="AD177" s="417"/>
      <c r="AE177" s="417"/>
      <c r="AF177" s="417"/>
      <c r="AG177" s="417"/>
      <c r="AH177" s="417"/>
      <c r="AI177" s="417"/>
      <c r="AJ177" s="417"/>
      <c r="AK177" s="436"/>
      <c r="AL177" s="822"/>
    </row>
    <row r="178" spans="1:38" s="33" customFormat="1" hidden="1" outlineLevel="1">
      <c r="A178" s="1150"/>
      <c r="B178" s="823">
        <v>8</v>
      </c>
      <c r="C178" s="373" t="str">
        <f t="shared" si="14"/>
        <v>ATLÁNTICO</v>
      </c>
      <c r="D178" s="374"/>
      <c r="E178" s="1113"/>
      <c r="F178" s="1104"/>
      <c r="G178" s="375"/>
      <c r="H178" s="1062"/>
      <c r="I178" s="1057"/>
      <c r="J178" s="1058"/>
      <c r="K178" s="1070" t="str">
        <f t="shared" si="10"/>
        <v>Ok</v>
      </c>
      <c r="L178" s="1077">
        <f t="shared" si="11"/>
        <v>0</v>
      </c>
      <c r="M178" s="1091">
        <f>+H178/'Parametros Generales'!$C$8</f>
        <v>0</v>
      </c>
      <c r="N178" s="1098"/>
      <c r="O178" s="1098"/>
      <c r="P178" s="1098"/>
      <c r="Q178" s="1098"/>
      <c r="R178" s="1098">
        <f>+(M178/'Parametros Generales'!$C$9)</f>
        <v>0</v>
      </c>
      <c r="S178" s="395"/>
      <c r="T178" s="395"/>
      <c r="U178" s="395"/>
      <c r="V178" s="396"/>
      <c r="W178" s="376">
        <f>+R178*'Componentes T.H.'!$Q$9*'Parametros Generales'!$C$6</f>
        <v>0</v>
      </c>
      <c r="X178" s="376">
        <f>(+VLOOKUP(C178,'Transporte y Viaticos'!$B$87:$L$120,2,0)*'Parametros Generales'!$C$7*R178)*(2/3)</f>
        <v>0</v>
      </c>
      <c r="Y178" s="417"/>
      <c r="Z178" s="417"/>
      <c r="AA178" s="417"/>
      <c r="AB178" s="417">
        <f>+M178*'Parametros Generales'!$C$6*'Parametros Generales'!$J$9</f>
        <v>0</v>
      </c>
      <c r="AC178" s="417">
        <f>+H178*'Parametros Generales'!$J$10*'Parametros Generales'!$C$6*'Parametros Generales'!$C$11</f>
        <v>0</v>
      </c>
      <c r="AD178" s="417"/>
      <c r="AE178" s="417"/>
      <c r="AF178" s="417"/>
      <c r="AG178" s="417"/>
      <c r="AH178" s="417"/>
      <c r="AI178" s="417"/>
      <c r="AJ178" s="417"/>
      <c r="AK178" s="436"/>
      <c r="AL178" s="822"/>
    </row>
    <row r="179" spans="1:38" s="33" customFormat="1" hidden="1" outlineLevel="1">
      <c r="A179" s="1150"/>
      <c r="B179" s="823">
        <v>8</v>
      </c>
      <c r="C179" s="373" t="str">
        <f t="shared" si="14"/>
        <v>ATLÁNTICO</v>
      </c>
      <c r="D179" s="374"/>
      <c r="E179" s="1113"/>
      <c r="F179" s="1104"/>
      <c r="G179" s="375"/>
      <c r="H179" s="1062"/>
      <c r="I179" s="1057"/>
      <c r="J179" s="1058"/>
      <c r="K179" s="1070" t="str">
        <f t="shared" si="10"/>
        <v>Ok</v>
      </c>
      <c r="L179" s="1077">
        <f t="shared" si="11"/>
        <v>0</v>
      </c>
      <c r="M179" s="1091">
        <f>+H179/'Parametros Generales'!$C$8</f>
        <v>0</v>
      </c>
      <c r="N179" s="1098"/>
      <c r="O179" s="1098"/>
      <c r="P179" s="1098"/>
      <c r="Q179" s="1098"/>
      <c r="R179" s="1098">
        <f>+(M179/'Parametros Generales'!$C$9)</f>
        <v>0</v>
      </c>
      <c r="S179" s="395"/>
      <c r="T179" s="395"/>
      <c r="U179" s="395"/>
      <c r="V179" s="396"/>
      <c r="W179" s="376">
        <f>+R179*'Componentes T.H.'!$Q$9*'Parametros Generales'!$C$6</f>
        <v>0</v>
      </c>
      <c r="X179" s="376">
        <f>(+VLOOKUP(C179,'Transporte y Viaticos'!$B$87:$L$120,2,0)*'Parametros Generales'!$C$7*R179)*(2/3)</f>
        <v>0</v>
      </c>
      <c r="Y179" s="417"/>
      <c r="Z179" s="417"/>
      <c r="AA179" s="417"/>
      <c r="AB179" s="417">
        <f>+M179*'Parametros Generales'!$C$6*'Parametros Generales'!$J$9</f>
        <v>0</v>
      </c>
      <c r="AC179" s="417">
        <f>+H179*'Parametros Generales'!$J$10*'Parametros Generales'!$C$6*'Parametros Generales'!$C$11</f>
        <v>0</v>
      </c>
      <c r="AD179" s="417"/>
      <c r="AE179" s="417"/>
      <c r="AF179" s="417"/>
      <c r="AG179" s="417"/>
      <c r="AH179" s="417"/>
      <c r="AI179" s="417"/>
      <c r="AJ179" s="417"/>
      <c r="AK179" s="436"/>
      <c r="AL179" s="822"/>
    </row>
    <row r="180" spans="1:38" s="33" customFormat="1" hidden="1" outlineLevel="1">
      <c r="A180" s="1150"/>
      <c r="B180" s="823">
        <v>8</v>
      </c>
      <c r="C180" s="373" t="str">
        <f t="shared" si="14"/>
        <v>ATLÁNTICO</v>
      </c>
      <c r="D180" s="374"/>
      <c r="E180" s="1113"/>
      <c r="F180" s="1104"/>
      <c r="G180" s="375"/>
      <c r="H180" s="1062"/>
      <c r="I180" s="1057"/>
      <c r="J180" s="1058"/>
      <c r="K180" s="1070" t="str">
        <f t="shared" si="10"/>
        <v>Ok</v>
      </c>
      <c r="L180" s="1077">
        <f t="shared" si="11"/>
        <v>0</v>
      </c>
      <c r="M180" s="1091">
        <f>+H180/'Parametros Generales'!$C$8</f>
        <v>0</v>
      </c>
      <c r="N180" s="1098"/>
      <c r="O180" s="1098"/>
      <c r="P180" s="1098"/>
      <c r="Q180" s="1098"/>
      <c r="R180" s="1098">
        <f>+(M180/'Parametros Generales'!$C$9)</f>
        <v>0</v>
      </c>
      <c r="S180" s="395"/>
      <c r="T180" s="395"/>
      <c r="U180" s="395"/>
      <c r="V180" s="396"/>
      <c r="W180" s="376">
        <f>+R180*'Componentes T.H.'!$Q$9*'Parametros Generales'!$C$6</f>
        <v>0</v>
      </c>
      <c r="X180" s="376">
        <f>(+VLOOKUP(C180,'Transporte y Viaticos'!$B$87:$L$120,2,0)*'Parametros Generales'!$C$7*R180)*(2/3)</f>
        <v>0</v>
      </c>
      <c r="Y180" s="417"/>
      <c r="Z180" s="417"/>
      <c r="AA180" s="417"/>
      <c r="AB180" s="417">
        <f>+M180*'Parametros Generales'!$C$6*'Parametros Generales'!$J$9</f>
        <v>0</v>
      </c>
      <c r="AC180" s="417">
        <f>+H180*'Parametros Generales'!$J$10*'Parametros Generales'!$C$6*'Parametros Generales'!$C$11</f>
        <v>0</v>
      </c>
      <c r="AD180" s="417"/>
      <c r="AE180" s="417"/>
      <c r="AF180" s="417"/>
      <c r="AG180" s="417"/>
      <c r="AH180" s="417"/>
      <c r="AI180" s="417"/>
      <c r="AJ180" s="417"/>
      <c r="AK180" s="436"/>
      <c r="AL180" s="822"/>
    </row>
    <row r="181" spans="1:38" s="33" customFormat="1" hidden="1" outlineLevel="1">
      <c r="A181" s="1150"/>
      <c r="B181" s="823">
        <v>8</v>
      </c>
      <c r="C181" s="373" t="str">
        <f t="shared" si="14"/>
        <v>ATLÁNTICO</v>
      </c>
      <c r="D181" s="374"/>
      <c r="E181" s="1113"/>
      <c r="F181" s="1104"/>
      <c r="G181" s="375"/>
      <c r="H181" s="1062"/>
      <c r="I181" s="1057"/>
      <c r="J181" s="1058"/>
      <c r="K181" s="1070" t="str">
        <f t="shared" si="10"/>
        <v>Ok</v>
      </c>
      <c r="L181" s="1077">
        <f t="shared" si="11"/>
        <v>0</v>
      </c>
      <c r="M181" s="1091">
        <f>+H181/'Parametros Generales'!$C$8</f>
        <v>0</v>
      </c>
      <c r="N181" s="1098"/>
      <c r="O181" s="1098"/>
      <c r="P181" s="1098"/>
      <c r="Q181" s="1098"/>
      <c r="R181" s="1098">
        <f>+(M181/'Parametros Generales'!$C$9)</f>
        <v>0</v>
      </c>
      <c r="S181" s="395"/>
      <c r="T181" s="395"/>
      <c r="U181" s="395"/>
      <c r="V181" s="396"/>
      <c r="W181" s="376">
        <f>+R181*'Componentes T.H.'!$Q$9*'Parametros Generales'!$C$6</f>
        <v>0</v>
      </c>
      <c r="X181" s="376">
        <f>(+VLOOKUP(C181,'Transporte y Viaticos'!$B$87:$L$120,2,0)*'Parametros Generales'!$C$7*R181)*(2/3)</f>
        <v>0</v>
      </c>
      <c r="Y181" s="417"/>
      <c r="Z181" s="417"/>
      <c r="AA181" s="417"/>
      <c r="AB181" s="417">
        <f>+M181*'Parametros Generales'!$C$6*'Parametros Generales'!$J$9</f>
        <v>0</v>
      </c>
      <c r="AC181" s="417">
        <f>+H181*'Parametros Generales'!$J$10*'Parametros Generales'!$C$6*'Parametros Generales'!$C$11</f>
        <v>0</v>
      </c>
      <c r="AD181" s="417"/>
      <c r="AE181" s="417"/>
      <c r="AF181" s="417"/>
      <c r="AG181" s="417"/>
      <c r="AH181" s="417"/>
      <c r="AI181" s="417"/>
      <c r="AJ181" s="417"/>
      <c r="AK181" s="436"/>
      <c r="AL181" s="822"/>
    </row>
    <row r="182" spans="1:38" s="33" customFormat="1" hidden="1" outlineLevel="1">
      <c r="A182" s="1150"/>
      <c r="B182" s="823">
        <v>8</v>
      </c>
      <c r="C182" s="373" t="str">
        <f t="shared" si="14"/>
        <v>ATLÁNTICO</v>
      </c>
      <c r="D182" s="374"/>
      <c r="E182" s="1113"/>
      <c r="F182" s="1104"/>
      <c r="G182" s="375"/>
      <c r="H182" s="1062"/>
      <c r="I182" s="1057"/>
      <c r="J182" s="1058"/>
      <c r="K182" s="1070" t="str">
        <f t="shared" si="10"/>
        <v>Ok</v>
      </c>
      <c r="L182" s="1077">
        <f t="shared" si="11"/>
        <v>0</v>
      </c>
      <c r="M182" s="1091">
        <f>+H182/'Parametros Generales'!$C$8</f>
        <v>0</v>
      </c>
      <c r="N182" s="1098"/>
      <c r="O182" s="1098"/>
      <c r="P182" s="1098"/>
      <c r="Q182" s="1098"/>
      <c r="R182" s="1098">
        <f>+(M182/'Parametros Generales'!$C$9)</f>
        <v>0</v>
      </c>
      <c r="S182" s="395"/>
      <c r="T182" s="395"/>
      <c r="U182" s="395"/>
      <c r="V182" s="396"/>
      <c r="W182" s="376">
        <f>+R182*'Componentes T.H.'!$Q$9*'Parametros Generales'!$C$6</f>
        <v>0</v>
      </c>
      <c r="X182" s="376">
        <f>(+VLOOKUP(C182,'Transporte y Viaticos'!$B$87:$L$120,2,0)*'Parametros Generales'!$C$7*R182)*(2/3)</f>
        <v>0</v>
      </c>
      <c r="Y182" s="417"/>
      <c r="Z182" s="417"/>
      <c r="AA182" s="417"/>
      <c r="AB182" s="417">
        <f>+M182*'Parametros Generales'!$C$6*'Parametros Generales'!$J$9</f>
        <v>0</v>
      </c>
      <c r="AC182" s="417">
        <f>+H182*'Parametros Generales'!$J$10*'Parametros Generales'!$C$6*'Parametros Generales'!$C$11</f>
        <v>0</v>
      </c>
      <c r="AD182" s="417"/>
      <c r="AE182" s="417"/>
      <c r="AF182" s="417"/>
      <c r="AG182" s="417"/>
      <c r="AH182" s="417"/>
      <c r="AI182" s="417"/>
      <c r="AJ182" s="417"/>
      <c r="AK182" s="436"/>
      <c r="AL182" s="822"/>
    </row>
    <row r="183" spans="1:38" s="33" customFormat="1" hidden="1" outlineLevel="1">
      <c r="A183" s="1150"/>
      <c r="B183" s="823">
        <v>8</v>
      </c>
      <c r="C183" s="373" t="str">
        <f t="shared" si="14"/>
        <v>ATLÁNTICO</v>
      </c>
      <c r="D183" s="374"/>
      <c r="E183" s="1113"/>
      <c r="F183" s="1104"/>
      <c r="G183" s="375"/>
      <c r="H183" s="1062"/>
      <c r="I183" s="1057"/>
      <c r="J183" s="1058"/>
      <c r="K183" s="1070" t="str">
        <f t="shared" si="10"/>
        <v>Ok</v>
      </c>
      <c r="L183" s="1077">
        <f t="shared" si="11"/>
        <v>0</v>
      </c>
      <c r="M183" s="1091">
        <f>+H183/'Parametros Generales'!$C$8</f>
        <v>0</v>
      </c>
      <c r="N183" s="1098"/>
      <c r="O183" s="1098"/>
      <c r="P183" s="1098"/>
      <c r="Q183" s="1098"/>
      <c r="R183" s="1098">
        <f>+(M183/'Parametros Generales'!$C$9)</f>
        <v>0</v>
      </c>
      <c r="S183" s="395"/>
      <c r="T183" s="395"/>
      <c r="U183" s="395"/>
      <c r="V183" s="396"/>
      <c r="W183" s="376">
        <f>+R183*'Componentes T.H.'!$Q$9*'Parametros Generales'!$C$6</f>
        <v>0</v>
      </c>
      <c r="X183" s="376">
        <f>(+VLOOKUP(C183,'Transporte y Viaticos'!$B$87:$L$120,2,0)*'Parametros Generales'!$C$7*R183)*(2/3)</f>
        <v>0</v>
      </c>
      <c r="Y183" s="417"/>
      <c r="Z183" s="417"/>
      <c r="AA183" s="417"/>
      <c r="AB183" s="417">
        <f>+M183*'Parametros Generales'!$C$6*'Parametros Generales'!$J$9</f>
        <v>0</v>
      </c>
      <c r="AC183" s="417">
        <f>+H183*'Parametros Generales'!$J$10*'Parametros Generales'!$C$6*'Parametros Generales'!$C$11</f>
        <v>0</v>
      </c>
      <c r="AD183" s="417"/>
      <c r="AE183" s="417"/>
      <c r="AF183" s="417"/>
      <c r="AG183" s="417"/>
      <c r="AH183" s="417"/>
      <c r="AI183" s="417"/>
      <c r="AJ183" s="417"/>
      <c r="AK183" s="436"/>
      <c r="AL183" s="822"/>
    </row>
    <row r="184" spans="1:38" s="33" customFormat="1" hidden="1" outlineLevel="1">
      <c r="A184" s="1150"/>
      <c r="B184" s="823">
        <v>8</v>
      </c>
      <c r="C184" s="373" t="str">
        <f t="shared" si="14"/>
        <v>ATLÁNTICO</v>
      </c>
      <c r="D184" s="374"/>
      <c r="E184" s="1113"/>
      <c r="F184" s="1104"/>
      <c r="G184" s="375"/>
      <c r="H184" s="1062"/>
      <c r="I184" s="1057"/>
      <c r="J184" s="1058"/>
      <c r="K184" s="1070" t="str">
        <f t="shared" si="10"/>
        <v>Ok</v>
      </c>
      <c r="L184" s="1077">
        <f t="shared" si="11"/>
        <v>0</v>
      </c>
      <c r="M184" s="1091">
        <f>+H184/'Parametros Generales'!$C$8</f>
        <v>0</v>
      </c>
      <c r="N184" s="1098"/>
      <c r="O184" s="1098"/>
      <c r="P184" s="1098"/>
      <c r="Q184" s="1098"/>
      <c r="R184" s="1098">
        <f>+(M184/'Parametros Generales'!$C$9)</f>
        <v>0</v>
      </c>
      <c r="S184" s="395"/>
      <c r="T184" s="395"/>
      <c r="U184" s="395"/>
      <c r="V184" s="396"/>
      <c r="W184" s="376">
        <f>+R184*'Componentes T.H.'!$Q$9*'Parametros Generales'!$C$6</f>
        <v>0</v>
      </c>
      <c r="X184" s="376">
        <f>(+VLOOKUP(C184,'Transporte y Viaticos'!$B$87:$L$120,2,0)*'Parametros Generales'!$C$7*R184)*(2/3)</f>
        <v>0</v>
      </c>
      <c r="Y184" s="417"/>
      <c r="Z184" s="417"/>
      <c r="AA184" s="417"/>
      <c r="AB184" s="417">
        <f>+M184*'Parametros Generales'!$C$6*'Parametros Generales'!$J$9</f>
        <v>0</v>
      </c>
      <c r="AC184" s="417">
        <f>+H184*'Parametros Generales'!$J$10*'Parametros Generales'!$C$6*'Parametros Generales'!$C$11</f>
        <v>0</v>
      </c>
      <c r="AD184" s="417"/>
      <c r="AE184" s="417"/>
      <c r="AF184" s="417"/>
      <c r="AG184" s="417"/>
      <c r="AH184" s="417"/>
      <c r="AI184" s="417"/>
      <c r="AJ184" s="417"/>
      <c r="AK184" s="436"/>
      <c r="AL184" s="822"/>
    </row>
    <row r="185" spans="1:38" s="392" customFormat="1" collapsed="1">
      <c r="A185" s="1151">
        <v>4</v>
      </c>
      <c r="B185" s="824">
        <v>13</v>
      </c>
      <c r="C185" s="372" t="s">
        <v>2237</v>
      </c>
      <c r="D185" s="386"/>
      <c r="E185" s="1114" t="s">
        <v>155</v>
      </c>
      <c r="F185" s="1105">
        <f>SUM(F186:F237)</f>
        <v>33</v>
      </c>
      <c r="G185" s="388">
        <f>+SUM(G186:G218)</f>
        <v>7920</v>
      </c>
      <c r="H185" s="512">
        <f>+SUM(H186:H237)</f>
        <v>8100</v>
      </c>
      <c r="I185" s="1057" t="s">
        <v>155</v>
      </c>
      <c r="J185" s="1067">
        <v>8100</v>
      </c>
      <c r="K185" s="1069" t="str">
        <f t="shared" si="10"/>
        <v>Ok</v>
      </c>
      <c r="L185" s="1077">
        <f t="shared" si="11"/>
        <v>0</v>
      </c>
      <c r="M185" s="512">
        <f>+SUM(M186:M237)</f>
        <v>324</v>
      </c>
      <c r="N185" s="1073">
        <f>+VLOOKUP(H185,'Parametros Generales'!$B$14:$D$17,3,TRUE)</f>
        <v>0.8</v>
      </c>
      <c r="O185" s="1073">
        <f>+VLOOKUP(H185,'Parametros Generales'!$B$14:$D$17,3,TRUE)</f>
        <v>0.8</v>
      </c>
      <c r="P185" s="1073">
        <f>+VLOOKUP(H185,'Parametros Generales'!$B$14:$D$17,3,TRUE)</f>
        <v>0.8</v>
      </c>
      <c r="Q185" s="1073">
        <f>+R185/'Parametros Generales'!$C$10</f>
        <v>10.125</v>
      </c>
      <c r="R185" s="512">
        <f>+SUM(R186:R237)</f>
        <v>81</v>
      </c>
      <c r="S185" s="390">
        <f>+VLOOKUP(S$1,'Componentes T.H.'!$B$4:$R$22,'Componentes T.H.'!$Q$1,0)*'Parametros Generales'!$C$6*'Cost x Depart'!N185</f>
        <v>11725411.310133336</v>
      </c>
      <c r="T185" s="390">
        <f>+VLOOKUP(T$1,'Componentes T.H.'!$B$4:$R$22,'Componentes T.H.'!$Q$1,0)*'Parametros Generales'!$C$6*'Cost x Depart'!O185</f>
        <v>8835052.5272000004</v>
      </c>
      <c r="U185" s="390">
        <f>+VLOOKUP(U$1,'Componentes T.H.'!$B$4:$R$22,'Componentes T.H.'!$Q$1,0)*'Parametros Generales'!$C$6*'Cost x Depart'!P185</f>
        <v>3912345.6000000001</v>
      </c>
      <c r="V185" s="389">
        <f>+VLOOKUP(V$1,'Componentes T.H.'!$B$4:$R$22,'Componentes T.H.'!$Q$1,0)*'Parametros Generales'!$C$6*'Cost x Depart'!Q185</f>
        <v>101159356.285125</v>
      </c>
      <c r="W185" s="512">
        <f t="shared" ref="W185:X185" si="15">+SUM(W186:W237)</f>
        <v>406499072.75100017</v>
      </c>
      <c r="X185" s="512">
        <f t="shared" si="15"/>
        <v>63053514.842081405</v>
      </c>
      <c r="Y185" s="391">
        <f>+VLOOKUP(C186,'Transporte y Viaticos'!$B$87:$F$120,2,0)*((O185/'Parametros Generales'!$J$14)+(Q185/'Parametros Generales'!$J$15)+(R185/'Parametros Generales'!$J$16))*'Parametros Generales'!$C$6</f>
        <v>3002339.8155129971</v>
      </c>
      <c r="Z185" s="391">
        <f>+(N185+O185+Q185)*'Parametros Generales'!$C$6*'Parametros Generales'!$J$7</f>
        <v>2305369.5</v>
      </c>
      <c r="AA185" s="391">
        <f>+SUM(N185:R185)*'Parametros Generales'!$C$6*'Parametros Generales'!$J$8</f>
        <v>16787737.5</v>
      </c>
      <c r="AB185" s="512">
        <f t="shared" ref="AB185:AC185" si="16">+SUM(AB186:AB237)</f>
        <v>157758545.4545455</v>
      </c>
      <c r="AC185" s="512">
        <f t="shared" si="16"/>
        <v>596909200.0797658</v>
      </c>
      <c r="AD185" s="391">
        <f>+'Parametros Generales'!$J$11*SUM(N185:R185)</f>
        <v>3146181</v>
      </c>
      <c r="AE185" s="436">
        <f>+SUM(S185:AD185)</f>
        <v>1375094126.6653643</v>
      </c>
      <c r="AF185" s="391">
        <f>+AE185*(SUM('Res de Costos Pais'!G117:G117))</f>
        <v>94193947.676577464</v>
      </c>
      <c r="AG185" s="391">
        <f>+AE185+AF185</f>
        <v>1469288074.3419418</v>
      </c>
      <c r="AH185" s="391">
        <f>+AG185*SUM('Res de Costos Pais'!$G$123:$G$124)</f>
        <v>14193322.798143158</v>
      </c>
      <c r="AI185" s="391">
        <f>+(AG185+AH185)*'Res de Costos Pais'!$G$136</f>
        <v>4005399.7722782297</v>
      </c>
      <c r="AJ185" s="391">
        <f>+(AG185+AH185+AI185)*'Res de Costos Pais'!$G$140</f>
        <v>5949947.1876494531</v>
      </c>
      <c r="AK185" s="391">
        <f>+AG185+AH185+AI185+AJ185</f>
        <v>1493436744.1000128</v>
      </c>
      <c r="AL185" s="820">
        <f>IF(ISERROR((+(AK185/H185)/'Parametros Generales'!$C$6)),0,(+(AK185/H185)/'Parametros Generales'!$C$6))</f>
        <v>36874.981335802782</v>
      </c>
    </row>
    <row r="186" spans="1:38" s="33" customFormat="1" hidden="1" outlineLevel="1">
      <c r="A186" s="1150"/>
      <c r="B186" s="819">
        <v>13</v>
      </c>
      <c r="C186" s="377" t="s">
        <v>2237</v>
      </c>
      <c r="D186" s="378">
        <f>+VLOOKUP(E186,Codigos!$A$1:$B$1123,2,0)</f>
        <v>13001</v>
      </c>
      <c r="E186" s="1110" t="s">
        <v>1709</v>
      </c>
      <c r="F186" s="1102">
        <v>1</v>
      </c>
      <c r="G186" s="379">
        <v>1782</v>
      </c>
      <c r="H186" s="1060">
        <f>CEILING((G186-100),'Parametros Generales'!$C$8)</f>
        <v>1700</v>
      </c>
      <c r="I186" s="1057" t="s">
        <v>156</v>
      </c>
      <c r="J186" s="1058">
        <v>1700</v>
      </c>
      <c r="K186" s="1070" t="str">
        <f t="shared" si="10"/>
        <v>Ok</v>
      </c>
      <c r="L186" s="1077">
        <f t="shared" si="11"/>
        <v>0</v>
      </c>
      <c r="M186" s="1089">
        <f>+H186/'Parametros Generales'!$C$8</f>
        <v>68</v>
      </c>
      <c r="N186" s="1096"/>
      <c r="O186" s="1096"/>
      <c r="P186" s="1096"/>
      <c r="Q186" s="1096"/>
      <c r="R186" s="1096">
        <f>+(M186/'Parametros Generales'!$C$9)</f>
        <v>17</v>
      </c>
      <c r="S186" s="393"/>
      <c r="T186" s="393"/>
      <c r="U186" s="393"/>
      <c r="V186" s="394"/>
      <c r="W186" s="380">
        <f>+R186*'Componentes T.H.'!$Q$9*'Parametros Generales'!$C$6</f>
        <v>85314620.207000002</v>
      </c>
      <c r="X186" s="380">
        <f>(+VLOOKUP(C186,'Transporte y Viaticos'!$B$87:$L$120,2,0)*'Parametros Generales'!$C$7*R186)*(2/3)</f>
        <v>13233453.73228869</v>
      </c>
      <c r="Y186" s="417"/>
      <c r="Z186" s="417"/>
      <c r="AA186" s="417"/>
      <c r="AB186" s="417">
        <f>+M186*'Parametros Generales'!$C$6*'Parametros Generales'!$J$9</f>
        <v>33109818.181818191</v>
      </c>
      <c r="AC186" s="417">
        <f>+H186*'Parametros Generales'!$J$10*'Parametros Generales'!$C$6*'Parametros Generales'!$C$11</f>
        <v>125277239.52291383</v>
      </c>
      <c r="AD186" s="417"/>
      <c r="AE186" s="417"/>
      <c r="AF186" s="417"/>
      <c r="AG186" s="417"/>
      <c r="AH186" s="417"/>
      <c r="AI186" s="417"/>
      <c r="AJ186" s="417"/>
      <c r="AK186" s="436"/>
      <c r="AL186" s="822"/>
    </row>
    <row r="187" spans="1:38" s="33" customFormat="1" hidden="1" outlineLevel="1">
      <c r="A187" s="1150"/>
      <c r="B187" s="821">
        <v>13</v>
      </c>
      <c r="C187" s="371" t="s">
        <v>2237</v>
      </c>
      <c r="D187" s="31">
        <f>+VLOOKUP(E187,Codigos!$A$1:$B$1123,2,0)</f>
        <v>13006</v>
      </c>
      <c r="E187" s="1111" t="s">
        <v>1710</v>
      </c>
      <c r="F187" s="1103">
        <v>1</v>
      </c>
      <c r="G187" s="30">
        <v>198</v>
      </c>
      <c r="H187" s="1061">
        <f>CEILING(G187,'Parametros Generales'!$C$8)</f>
        <v>200</v>
      </c>
      <c r="I187" s="1057" t="s">
        <v>157</v>
      </c>
      <c r="J187" s="1058">
        <v>200</v>
      </c>
      <c r="K187" s="1070" t="str">
        <f t="shared" si="10"/>
        <v>Ok</v>
      </c>
      <c r="L187" s="1077">
        <f t="shared" si="11"/>
        <v>0</v>
      </c>
      <c r="M187" s="1090">
        <f>+H187/'Parametros Generales'!$C$8</f>
        <v>8</v>
      </c>
      <c r="N187" s="1097"/>
      <c r="O187" s="1097"/>
      <c r="P187" s="1097"/>
      <c r="Q187" s="1097"/>
      <c r="R187" s="1097">
        <f>+(M187/'Parametros Generales'!$C$9)</f>
        <v>2</v>
      </c>
      <c r="S187" s="390"/>
      <c r="T187" s="390"/>
      <c r="U187" s="390"/>
      <c r="V187" s="389"/>
      <c r="W187" s="32">
        <f>+R187*'Componentes T.H.'!$Q$9*'Parametros Generales'!$C$6</f>
        <v>10037014.142000001</v>
      </c>
      <c r="X187" s="32">
        <f>(+VLOOKUP(C187,'Transporte y Viaticos'!$B$87:$L$120,2,0)*'Parametros Generales'!$C$7*R187)*(2/3)</f>
        <v>1556876.9096810224</v>
      </c>
      <c r="Y187" s="417"/>
      <c r="Z187" s="417"/>
      <c r="AA187" s="417"/>
      <c r="AB187" s="417">
        <f>+M187*'Parametros Generales'!$C$6*'Parametros Generales'!$J$9</f>
        <v>3895272.7272727285</v>
      </c>
      <c r="AC187" s="417">
        <f>+H187*'Parametros Generales'!$J$10*'Parametros Generales'!$C$6*'Parametros Generales'!$C$11</f>
        <v>14738498.767401624</v>
      </c>
      <c r="AD187" s="417"/>
      <c r="AE187" s="417"/>
      <c r="AF187" s="417"/>
      <c r="AG187" s="417"/>
      <c r="AH187" s="417"/>
      <c r="AI187" s="417"/>
      <c r="AJ187" s="417"/>
      <c r="AK187" s="436"/>
      <c r="AL187" s="822"/>
    </row>
    <row r="188" spans="1:38" s="33" customFormat="1" hidden="1" outlineLevel="1">
      <c r="A188" s="1150"/>
      <c r="B188" s="821">
        <v>13</v>
      </c>
      <c r="C188" s="371" t="s">
        <v>2237</v>
      </c>
      <c r="D188" s="31">
        <f>+VLOOKUP(E188,Codigos!$A$1:$B$1123,2,0)</f>
        <v>13030</v>
      </c>
      <c r="E188" s="1111" t="s">
        <v>1711</v>
      </c>
      <c r="F188" s="1103">
        <v>1</v>
      </c>
      <c r="G188" s="30">
        <v>198</v>
      </c>
      <c r="H188" s="1061">
        <f>CEILING(G188,'Parametros Generales'!$C$8)</f>
        <v>200</v>
      </c>
      <c r="I188" s="1057" t="s">
        <v>158</v>
      </c>
      <c r="J188" s="1058">
        <v>200</v>
      </c>
      <c r="K188" s="1070" t="str">
        <f t="shared" si="10"/>
        <v>Ok</v>
      </c>
      <c r="L188" s="1077">
        <f t="shared" si="11"/>
        <v>0</v>
      </c>
      <c r="M188" s="1090">
        <f>+H188/'Parametros Generales'!$C$8</f>
        <v>8</v>
      </c>
      <c r="N188" s="1097"/>
      <c r="O188" s="1097"/>
      <c r="P188" s="1097"/>
      <c r="Q188" s="1097"/>
      <c r="R188" s="1097">
        <f>+(M188/'Parametros Generales'!$C$9)</f>
        <v>2</v>
      </c>
      <c r="S188" s="390"/>
      <c r="T188" s="390"/>
      <c r="U188" s="390"/>
      <c r="V188" s="389"/>
      <c r="W188" s="32">
        <f>+R188*'Componentes T.H.'!$Q$9*'Parametros Generales'!$C$6</f>
        <v>10037014.142000001</v>
      </c>
      <c r="X188" s="32">
        <f>(+VLOOKUP(C188,'Transporte y Viaticos'!$B$87:$L$120,2,0)*'Parametros Generales'!$C$7*R188)*(2/3)</f>
        <v>1556876.9096810224</v>
      </c>
      <c r="Y188" s="417"/>
      <c r="Z188" s="417"/>
      <c r="AA188" s="417"/>
      <c r="AB188" s="417">
        <f>+M188*'Parametros Generales'!$C$6*'Parametros Generales'!$J$9</f>
        <v>3895272.7272727285</v>
      </c>
      <c r="AC188" s="417">
        <f>+H188*'Parametros Generales'!$J$10*'Parametros Generales'!$C$6*'Parametros Generales'!$C$11</f>
        <v>14738498.767401624</v>
      </c>
      <c r="AD188" s="417"/>
      <c r="AE188" s="417"/>
      <c r="AF188" s="417"/>
      <c r="AG188" s="417"/>
      <c r="AH188" s="417"/>
      <c r="AI188" s="417"/>
      <c r="AJ188" s="417"/>
      <c r="AK188" s="436"/>
      <c r="AL188" s="822"/>
    </row>
    <row r="189" spans="1:38" s="33" customFormat="1" hidden="1" outlineLevel="1">
      <c r="A189" s="1150"/>
      <c r="B189" s="821">
        <v>13</v>
      </c>
      <c r="C189" s="371" t="s">
        <v>2237</v>
      </c>
      <c r="D189" s="31">
        <f>+VLOOKUP(E189,Codigos!$A$1:$B$1123,2,0)</f>
        <v>13052</v>
      </c>
      <c r="E189" s="1111" t="s">
        <v>1712</v>
      </c>
      <c r="F189" s="1103">
        <v>1</v>
      </c>
      <c r="G189" s="30">
        <v>198</v>
      </c>
      <c r="H189" s="1061">
        <f>CEILING(G189,'Parametros Generales'!$C$8)</f>
        <v>200</v>
      </c>
      <c r="I189" s="1057" t="s">
        <v>159</v>
      </c>
      <c r="J189" s="1058">
        <v>200</v>
      </c>
      <c r="K189" s="1070" t="str">
        <f t="shared" si="10"/>
        <v>Ok</v>
      </c>
      <c r="L189" s="1077">
        <f t="shared" si="11"/>
        <v>0</v>
      </c>
      <c r="M189" s="1090">
        <f>+H189/'Parametros Generales'!$C$8</f>
        <v>8</v>
      </c>
      <c r="N189" s="1097"/>
      <c r="O189" s="1097"/>
      <c r="P189" s="1097"/>
      <c r="Q189" s="1097"/>
      <c r="R189" s="1097">
        <f>+(M189/'Parametros Generales'!$C$9)</f>
        <v>2</v>
      </c>
      <c r="S189" s="390"/>
      <c r="T189" s="390"/>
      <c r="U189" s="390"/>
      <c r="V189" s="389"/>
      <c r="W189" s="32">
        <f>+R189*'Componentes T.H.'!$Q$9*'Parametros Generales'!$C$6</f>
        <v>10037014.142000001</v>
      </c>
      <c r="X189" s="32">
        <f>(+VLOOKUP(C189,'Transporte y Viaticos'!$B$87:$L$120,2,0)*'Parametros Generales'!$C$7*R189)*(2/3)</f>
        <v>1556876.9096810224</v>
      </c>
      <c r="Y189" s="417"/>
      <c r="Z189" s="417"/>
      <c r="AA189" s="417"/>
      <c r="AB189" s="417">
        <f>+M189*'Parametros Generales'!$C$6*'Parametros Generales'!$J$9</f>
        <v>3895272.7272727285</v>
      </c>
      <c r="AC189" s="417">
        <f>+H189*'Parametros Generales'!$J$10*'Parametros Generales'!$C$6*'Parametros Generales'!$C$11</f>
        <v>14738498.767401624</v>
      </c>
      <c r="AD189" s="417"/>
      <c r="AE189" s="417"/>
      <c r="AF189" s="417"/>
      <c r="AG189" s="417"/>
      <c r="AH189" s="417"/>
      <c r="AI189" s="417"/>
      <c r="AJ189" s="417"/>
      <c r="AK189" s="436"/>
      <c r="AL189" s="822"/>
    </row>
    <row r="190" spans="1:38" s="33" customFormat="1" hidden="1" outlineLevel="1">
      <c r="A190" s="1150"/>
      <c r="B190" s="821">
        <v>13</v>
      </c>
      <c r="C190" s="371" t="s">
        <v>2237</v>
      </c>
      <c r="D190" s="31">
        <f>+VLOOKUP(E190,Codigos!$A$1:$B$1123,2,0)</f>
        <v>13062</v>
      </c>
      <c r="E190" s="1111" t="s">
        <v>1713</v>
      </c>
      <c r="F190" s="1103">
        <v>1</v>
      </c>
      <c r="G190" s="30">
        <v>198</v>
      </c>
      <c r="H190" s="1061">
        <f>CEILING(G190,'Parametros Generales'!$C$8)</f>
        <v>200</v>
      </c>
      <c r="I190" s="1057" t="s">
        <v>160</v>
      </c>
      <c r="J190" s="1058">
        <v>200</v>
      </c>
      <c r="K190" s="1070" t="str">
        <f t="shared" si="10"/>
        <v>Ok</v>
      </c>
      <c r="L190" s="1077">
        <f t="shared" si="11"/>
        <v>0</v>
      </c>
      <c r="M190" s="1090">
        <f>+H190/'Parametros Generales'!$C$8</f>
        <v>8</v>
      </c>
      <c r="N190" s="1097"/>
      <c r="O190" s="1097"/>
      <c r="P190" s="1097"/>
      <c r="Q190" s="1097"/>
      <c r="R190" s="1097">
        <f>+(M190/'Parametros Generales'!$C$9)</f>
        <v>2</v>
      </c>
      <c r="S190" s="390"/>
      <c r="T190" s="390"/>
      <c r="U190" s="390"/>
      <c r="V190" s="389"/>
      <c r="W190" s="32">
        <f>+R190*'Componentes T.H.'!$Q$9*'Parametros Generales'!$C$6</f>
        <v>10037014.142000001</v>
      </c>
      <c r="X190" s="32">
        <f>(+VLOOKUP(C190,'Transporte y Viaticos'!$B$87:$L$120,2,0)*'Parametros Generales'!$C$7*R190)*(2/3)</f>
        <v>1556876.9096810224</v>
      </c>
      <c r="Y190" s="417"/>
      <c r="Z190" s="417"/>
      <c r="AA190" s="417"/>
      <c r="AB190" s="417">
        <f>+M190*'Parametros Generales'!$C$6*'Parametros Generales'!$J$9</f>
        <v>3895272.7272727285</v>
      </c>
      <c r="AC190" s="417">
        <f>+H190*'Parametros Generales'!$J$10*'Parametros Generales'!$C$6*'Parametros Generales'!$C$11</f>
        <v>14738498.767401624</v>
      </c>
      <c r="AD190" s="417"/>
      <c r="AE190" s="417"/>
      <c r="AF190" s="417"/>
      <c r="AG190" s="417"/>
      <c r="AH190" s="417"/>
      <c r="AI190" s="417"/>
      <c r="AJ190" s="417"/>
      <c r="AK190" s="436"/>
      <c r="AL190" s="822"/>
    </row>
    <row r="191" spans="1:38" s="33" customFormat="1" hidden="1" outlineLevel="1">
      <c r="A191" s="1150"/>
      <c r="B191" s="821">
        <v>13</v>
      </c>
      <c r="C191" s="371" t="s">
        <v>2237</v>
      </c>
      <c r="D191" s="31">
        <f>+VLOOKUP(E191,Codigos!$A$1:$B$1123,2,0)</f>
        <v>13074</v>
      </c>
      <c r="E191" s="1111" t="s">
        <v>1714</v>
      </c>
      <c r="F191" s="1103">
        <v>1</v>
      </c>
      <c r="G191" s="30">
        <v>198</v>
      </c>
      <c r="H191" s="1061">
        <f>CEILING(G191,'Parametros Generales'!$C$8)</f>
        <v>200</v>
      </c>
      <c r="I191" s="1057" t="s">
        <v>161</v>
      </c>
      <c r="J191" s="1058">
        <v>200</v>
      </c>
      <c r="K191" s="1070" t="str">
        <f t="shared" si="10"/>
        <v>Ok</v>
      </c>
      <c r="L191" s="1077">
        <f t="shared" si="11"/>
        <v>0</v>
      </c>
      <c r="M191" s="1090">
        <f>+H191/'Parametros Generales'!$C$8</f>
        <v>8</v>
      </c>
      <c r="N191" s="1097"/>
      <c r="O191" s="1097"/>
      <c r="P191" s="1097"/>
      <c r="Q191" s="1097"/>
      <c r="R191" s="1097">
        <f>+(M191/'Parametros Generales'!$C$9)</f>
        <v>2</v>
      </c>
      <c r="S191" s="390"/>
      <c r="T191" s="390"/>
      <c r="U191" s="390"/>
      <c r="V191" s="389"/>
      <c r="W191" s="32">
        <f>+R191*'Componentes T.H.'!$Q$9*'Parametros Generales'!$C$6</f>
        <v>10037014.142000001</v>
      </c>
      <c r="X191" s="32">
        <f>(+VLOOKUP(C191,'Transporte y Viaticos'!$B$87:$L$120,2,0)*'Parametros Generales'!$C$7*R191)*(2/3)</f>
        <v>1556876.9096810224</v>
      </c>
      <c r="Y191" s="417"/>
      <c r="Z191" s="417"/>
      <c r="AA191" s="417"/>
      <c r="AB191" s="417">
        <f>+M191*'Parametros Generales'!$C$6*'Parametros Generales'!$J$9</f>
        <v>3895272.7272727285</v>
      </c>
      <c r="AC191" s="417">
        <f>+H191*'Parametros Generales'!$J$10*'Parametros Generales'!$C$6*'Parametros Generales'!$C$11</f>
        <v>14738498.767401624</v>
      </c>
      <c r="AD191" s="417"/>
      <c r="AE191" s="417"/>
      <c r="AF191" s="417"/>
      <c r="AG191" s="417"/>
      <c r="AH191" s="417"/>
      <c r="AI191" s="417"/>
      <c r="AJ191" s="417"/>
      <c r="AK191" s="436"/>
      <c r="AL191" s="822"/>
    </row>
    <row r="192" spans="1:38" s="33" customFormat="1" hidden="1" outlineLevel="1">
      <c r="A192" s="1150"/>
      <c r="B192" s="821">
        <v>13</v>
      </c>
      <c r="C192" s="371" t="s">
        <v>2237</v>
      </c>
      <c r="D192" s="31">
        <f>+VLOOKUP(E192,Codigos!$A$1:$B$1123,2,0)</f>
        <v>13140</v>
      </c>
      <c r="E192" s="1111" t="s">
        <v>1715</v>
      </c>
      <c r="F192" s="1103">
        <v>1</v>
      </c>
      <c r="G192" s="30">
        <v>198</v>
      </c>
      <c r="H192" s="1061">
        <f>CEILING(G192,'Parametros Generales'!$C$8)</f>
        <v>200</v>
      </c>
      <c r="I192" s="1057" t="s">
        <v>162</v>
      </c>
      <c r="J192" s="1058">
        <v>200</v>
      </c>
      <c r="K192" s="1070" t="str">
        <f t="shared" si="10"/>
        <v>Ok</v>
      </c>
      <c r="L192" s="1077">
        <f t="shared" si="11"/>
        <v>0</v>
      </c>
      <c r="M192" s="1090">
        <f>+H192/'Parametros Generales'!$C$8</f>
        <v>8</v>
      </c>
      <c r="N192" s="1097"/>
      <c r="O192" s="1097"/>
      <c r="P192" s="1097"/>
      <c r="Q192" s="1097"/>
      <c r="R192" s="1097">
        <f>+(M192/'Parametros Generales'!$C$9)</f>
        <v>2</v>
      </c>
      <c r="S192" s="390"/>
      <c r="T192" s="390"/>
      <c r="U192" s="390"/>
      <c r="V192" s="389"/>
      <c r="W192" s="32">
        <f>+R192*'Componentes T.H.'!$Q$9*'Parametros Generales'!$C$6</f>
        <v>10037014.142000001</v>
      </c>
      <c r="X192" s="32">
        <f>(+VLOOKUP(C192,'Transporte y Viaticos'!$B$87:$L$120,2,0)*'Parametros Generales'!$C$7*R192)*(2/3)</f>
        <v>1556876.9096810224</v>
      </c>
      <c r="Y192" s="417"/>
      <c r="Z192" s="417"/>
      <c r="AA192" s="417"/>
      <c r="AB192" s="417">
        <f>+M192*'Parametros Generales'!$C$6*'Parametros Generales'!$J$9</f>
        <v>3895272.7272727285</v>
      </c>
      <c r="AC192" s="417">
        <f>+H192*'Parametros Generales'!$J$10*'Parametros Generales'!$C$6*'Parametros Generales'!$C$11</f>
        <v>14738498.767401624</v>
      </c>
      <c r="AD192" s="417"/>
      <c r="AE192" s="417"/>
      <c r="AF192" s="417"/>
      <c r="AG192" s="417"/>
      <c r="AH192" s="417"/>
      <c r="AI192" s="417"/>
      <c r="AJ192" s="417"/>
      <c r="AK192" s="436"/>
      <c r="AL192" s="822"/>
    </row>
    <row r="193" spans="1:38" s="33" customFormat="1" hidden="1" outlineLevel="1">
      <c r="A193" s="1150"/>
      <c r="B193" s="821">
        <v>13</v>
      </c>
      <c r="C193" s="371" t="s">
        <v>2237</v>
      </c>
      <c r="D193" s="31">
        <f>+VLOOKUP(E193,Codigos!$A$1:$B$1123,2,0)</f>
        <v>13160</v>
      </c>
      <c r="E193" s="1111" t="s">
        <v>1716</v>
      </c>
      <c r="F193" s="1103">
        <v>1</v>
      </c>
      <c r="G193" s="30">
        <v>198</v>
      </c>
      <c r="H193" s="1061">
        <f>CEILING(G193,'Parametros Generales'!$C$8)</f>
        <v>200</v>
      </c>
      <c r="I193" s="1057" t="s">
        <v>163</v>
      </c>
      <c r="J193" s="1058">
        <v>200</v>
      </c>
      <c r="K193" s="1070" t="str">
        <f t="shared" si="10"/>
        <v>Ok</v>
      </c>
      <c r="L193" s="1077">
        <f t="shared" si="11"/>
        <v>0</v>
      </c>
      <c r="M193" s="1090">
        <f>+H193/'Parametros Generales'!$C$8</f>
        <v>8</v>
      </c>
      <c r="N193" s="1097"/>
      <c r="O193" s="1097"/>
      <c r="P193" s="1097"/>
      <c r="Q193" s="1097"/>
      <c r="R193" s="1097">
        <f>+(M193/'Parametros Generales'!$C$9)</f>
        <v>2</v>
      </c>
      <c r="S193" s="390"/>
      <c r="T193" s="390"/>
      <c r="U193" s="390"/>
      <c r="V193" s="389"/>
      <c r="W193" s="32">
        <f>+R193*'Componentes T.H.'!$Q$9*'Parametros Generales'!$C$6</f>
        <v>10037014.142000001</v>
      </c>
      <c r="X193" s="32">
        <f>(+VLOOKUP(C193,'Transporte y Viaticos'!$B$87:$L$120,2,0)*'Parametros Generales'!$C$7*R193)*(2/3)</f>
        <v>1556876.9096810224</v>
      </c>
      <c r="Y193" s="417"/>
      <c r="Z193" s="417"/>
      <c r="AA193" s="417"/>
      <c r="AB193" s="417">
        <f>+M193*'Parametros Generales'!$C$6*'Parametros Generales'!$J$9</f>
        <v>3895272.7272727285</v>
      </c>
      <c r="AC193" s="417">
        <f>+H193*'Parametros Generales'!$J$10*'Parametros Generales'!$C$6*'Parametros Generales'!$C$11</f>
        <v>14738498.767401624</v>
      </c>
      <c r="AD193" s="417"/>
      <c r="AE193" s="417"/>
      <c r="AF193" s="417"/>
      <c r="AG193" s="417"/>
      <c r="AH193" s="417"/>
      <c r="AI193" s="417"/>
      <c r="AJ193" s="417"/>
      <c r="AK193" s="436"/>
      <c r="AL193" s="822"/>
    </row>
    <row r="194" spans="1:38" s="33" customFormat="1" hidden="1" outlineLevel="1">
      <c r="A194" s="1150"/>
      <c r="B194" s="821">
        <v>13</v>
      </c>
      <c r="C194" s="371" t="s">
        <v>2237</v>
      </c>
      <c r="D194" s="31">
        <f>+VLOOKUP(E194,Codigos!$A$1:$B$1123,2,0)</f>
        <v>13222</v>
      </c>
      <c r="E194" s="1111" t="s">
        <v>1717</v>
      </c>
      <c r="F194" s="1103">
        <v>1</v>
      </c>
      <c r="G194" s="30">
        <v>198</v>
      </c>
      <c r="H194" s="1061">
        <f>CEILING(G194,'Parametros Generales'!$C$8)</f>
        <v>200</v>
      </c>
      <c r="I194" s="1057" t="s">
        <v>164</v>
      </c>
      <c r="J194" s="1058">
        <v>200</v>
      </c>
      <c r="K194" s="1070" t="str">
        <f t="shared" ref="K194:K257" si="17">+IF(I194=E194,"Ok","Rev")</f>
        <v>Ok</v>
      </c>
      <c r="L194" s="1077">
        <f t="shared" ref="L194:L257" si="18">+J194-H194</f>
        <v>0</v>
      </c>
      <c r="M194" s="1090">
        <f>+H194/'Parametros Generales'!$C$8</f>
        <v>8</v>
      </c>
      <c r="N194" s="1097"/>
      <c r="O194" s="1097"/>
      <c r="P194" s="1097"/>
      <c r="Q194" s="1097"/>
      <c r="R194" s="1097">
        <f>+(M194/'Parametros Generales'!$C$9)</f>
        <v>2</v>
      </c>
      <c r="S194" s="390"/>
      <c r="T194" s="390"/>
      <c r="U194" s="390"/>
      <c r="V194" s="389"/>
      <c r="W194" s="32">
        <f>+R194*'Componentes T.H.'!$Q$9*'Parametros Generales'!$C$6</f>
        <v>10037014.142000001</v>
      </c>
      <c r="X194" s="32">
        <f>(+VLOOKUP(C194,'Transporte y Viaticos'!$B$87:$L$120,2,0)*'Parametros Generales'!$C$7*R194)*(2/3)</f>
        <v>1556876.9096810224</v>
      </c>
      <c r="Y194" s="417"/>
      <c r="Z194" s="417"/>
      <c r="AA194" s="417"/>
      <c r="AB194" s="417">
        <f>+M194*'Parametros Generales'!$C$6*'Parametros Generales'!$J$9</f>
        <v>3895272.7272727285</v>
      </c>
      <c r="AC194" s="417">
        <f>+H194*'Parametros Generales'!$J$10*'Parametros Generales'!$C$6*'Parametros Generales'!$C$11</f>
        <v>14738498.767401624</v>
      </c>
      <c r="AD194" s="417"/>
      <c r="AE194" s="417"/>
      <c r="AF194" s="417"/>
      <c r="AG194" s="417"/>
      <c r="AH194" s="417"/>
      <c r="AI194" s="417"/>
      <c r="AJ194" s="417"/>
      <c r="AK194" s="436"/>
      <c r="AL194" s="822"/>
    </row>
    <row r="195" spans="1:38" s="33" customFormat="1" hidden="1" outlineLevel="1">
      <c r="A195" s="1150"/>
      <c r="B195" s="821">
        <v>13</v>
      </c>
      <c r="C195" s="371" t="s">
        <v>2237</v>
      </c>
      <c r="D195" s="31">
        <f>+VLOOKUP(E195,Codigos!$A$1:$B$1123,2,0)</f>
        <v>13244</v>
      </c>
      <c r="E195" s="1111" t="s">
        <v>1718</v>
      </c>
      <c r="F195" s="1103">
        <v>1</v>
      </c>
      <c r="G195" s="30">
        <f>198+198</f>
        <v>396</v>
      </c>
      <c r="H195" s="1061">
        <f>CEILING(G195,'Parametros Generales'!$C$8)</f>
        <v>400</v>
      </c>
      <c r="I195" s="1057" t="s">
        <v>165</v>
      </c>
      <c r="J195" s="1058">
        <v>400</v>
      </c>
      <c r="K195" s="1070" t="str">
        <f t="shared" si="17"/>
        <v>Ok</v>
      </c>
      <c r="L195" s="1077">
        <f t="shared" si="18"/>
        <v>0</v>
      </c>
      <c r="M195" s="1090">
        <f>+H195/'Parametros Generales'!$C$8</f>
        <v>16</v>
      </c>
      <c r="N195" s="1097"/>
      <c r="O195" s="1097"/>
      <c r="P195" s="1097"/>
      <c r="Q195" s="1097"/>
      <c r="R195" s="1097">
        <f>+(M195/'Parametros Generales'!$C$9)</f>
        <v>4</v>
      </c>
      <c r="S195" s="390"/>
      <c r="T195" s="390"/>
      <c r="U195" s="390"/>
      <c r="V195" s="389"/>
      <c r="W195" s="32">
        <f>+R195*'Componentes T.H.'!$Q$9*'Parametros Generales'!$C$6</f>
        <v>20074028.284000002</v>
      </c>
      <c r="X195" s="32">
        <f>(+VLOOKUP(C195,'Transporte y Viaticos'!$B$87:$L$120,2,0)*'Parametros Generales'!$C$7*R195)*(2/3)</f>
        <v>3113753.8193620448</v>
      </c>
      <c r="Y195" s="417"/>
      <c r="Z195" s="417"/>
      <c r="AA195" s="417"/>
      <c r="AB195" s="417">
        <f>+M195*'Parametros Generales'!$C$6*'Parametros Generales'!$J$9</f>
        <v>7790545.4545454569</v>
      </c>
      <c r="AC195" s="417">
        <f>+H195*'Parametros Generales'!$J$10*'Parametros Generales'!$C$6*'Parametros Generales'!$C$11</f>
        <v>29476997.534803249</v>
      </c>
      <c r="AD195" s="417"/>
      <c r="AE195" s="417"/>
      <c r="AF195" s="417"/>
      <c r="AG195" s="417"/>
      <c r="AH195" s="417"/>
      <c r="AI195" s="417"/>
      <c r="AJ195" s="417"/>
      <c r="AK195" s="436"/>
      <c r="AL195" s="822"/>
    </row>
    <row r="196" spans="1:38" s="33" customFormat="1" hidden="1" outlineLevel="1">
      <c r="A196" s="1150"/>
      <c r="B196" s="821">
        <v>13</v>
      </c>
      <c r="C196" s="371" t="s">
        <v>2237</v>
      </c>
      <c r="D196" s="31">
        <f>+VLOOKUP(E196,Codigos!$A$1:$B$1123,2,0)</f>
        <v>13300</v>
      </c>
      <c r="E196" s="1111" t="s">
        <v>1719</v>
      </c>
      <c r="F196" s="1103">
        <v>1</v>
      </c>
      <c r="G196" s="30">
        <v>198</v>
      </c>
      <c r="H196" s="1061">
        <f>CEILING(G196,'Parametros Generales'!$C$8)</f>
        <v>200</v>
      </c>
      <c r="I196" s="1057" t="s">
        <v>2386</v>
      </c>
      <c r="J196" s="1058">
        <v>200</v>
      </c>
      <c r="K196" s="1070" t="str">
        <f t="shared" si="17"/>
        <v>Ok</v>
      </c>
      <c r="L196" s="1077">
        <f t="shared" si="18"/>
        <v>0</v>
      </c>
      <c r="M196" s="1090">
        <f>+H196/'Parametros Generales'!$C$8</f>
        <v>8</v>
      </c>
      <c r="N196" s="1097"/>
      <c r="O196" s="1097"/>
      <c r="P196" s="1097"/>
      <c r="Q196" s="1097"/>
      <c r="R196" s="1097">
        <f>+(M196/'Parametros Generales'!$C$9)</f>
        <v>2</v>
      </c>
      <c r="S196" s="390"/>
      <c r="T196" s="390"/>
      <c r="U196" s="390"/>
      <c r="V196" s="389"/>
      <c r="W196" s="32">
        <f>+R196*'Componentes T.H.'!$Q$9*'Parametros Generales'!$C$6</f>
        <v>10037014.142000001</v>
      </c>
      <c r="X196" s="32">
        <f>(+VLOOKUP(C196,'Transporte y Viaticos'!$B$87:$L$120,2,0)*'Parametros Generales'!$C$7*R196)*(2/3)</f>
        <v>1556876.9096810224</v>
      </c>
      <c r="Y196" s="417"/>
      <c r="Z196" s="417"/>
      <c r="AA196" s="417"/>
      <c r="AB196" s="417">
        <f>+M196*'Parametros Generales'!$C$6*'Parametros Generales'!$J$9</f>
        <v>3895272.7272727285</v>
      </c>
      <c r="AC196" s="417">
        <f>+H196*'Parametros Generales'!$J$10*'Parametros Generales'!$C$6*'Parametros Generales'!$C$11</f>
        <v>14738498.767401624</v>
      </c>
      <c r="AD196" s="417"/>
      <c r="AE196" s="417"/>
      <c r="AF196" s="417"/>
      <c r="AG196" s="417"/>
      <c r="AH196" s="417"/>
      <c r="AI196" s="417"/>
      <c r="AJ196" s="417"/>
      <c r="AK196" s="436"/>
      <c r="AL196" s="822"/>
    </row>
    <row r="197" spans="1:38" s="33" customFormat="1" hidden="1" outlineLevel="1">
      <c r="A197" s="1150"/>
      <c r="B197" s="821">
        <v>13</v>
      </c>
      <c r="C197" s="371" t="s">
        <v>2237</v>
      </c>
      <c r="D197" s="31">
        <f>+VLOOKUP(E197,Codigos!$A$1:$B$1123,2,0)</f>
        <v>13430</v>
      </c>
      <c r="E197" s="1111" t="s">
        <v>1720</v>
      </c>
      <c r="F197" s="1103">
        <v>1</v>
      </c>
      <c r="G197" s="30">
        <v>198</v>
      </c>
      <c r="H197" s="1061">
        <f>CEILING(G197,'Parametros Generales'!$C$8)</f>
        <v>200</v>
      </c>
      <c r="I197" s="1057" t="s">
        <v>166</v>
      </c>
      <c r="J197" s="1058">
        <v>200</v>
      </c>
      <c r="K197" s="1070" t="str">
        <f t="shared" si="17"/>
        <v>Ok</v>
      </c>
      <c r="L197" s="1077">
        <f t="shared" si="18"/>
        <v>0</v>
      </c>
      <c r="M197" s="1090">
        <f>+H197/'Parametros Generales'!$C$8</f>
        <v>8</v>
      </c>
      <c r="N197" s="1097"/>
      <c r="O197" s="1097"/>
      <c r="P197" s="1097"/>
      <c r="Q197" s="1097"/>
      <c r="R197" s="1097">
        <f>+(M197/'Parametros Generales'!$C$9)</f>
        <v>2</v>
      </c>
      <c r="S197" s="390"/>
      <c r="T197" s="390"/>
      <c r="U197" s="390"/>
      <c r="V197" s="389"/>
      <c r="W197" s="32">
        <f>+R197*'Componentes T.H.'!$Q$9*'Parametros Generales'!$C$6</f>
        <v>10037014.142000001</v>
      </c>
      <c r="X197" s="32">
        <f>(+VLOOKUP(C197,'Transporte y Viaticos'!$B$87:$L$120,2,0)*'Parametros Generales'!$C$7*R197)*(2/3)</f>
        <v>1556876.9096810224</v>
      </c>
      <c r="Y197" s="417"/>
      <c r="Z197" s="417"/>
      <c r="AA197" s="417"/>
      <c r="AB197" s="417">
        <f>+M197*'Parametros Generales'!$C$6*'Parametros Generales'!$J$9</f>
        <v>3895272.7272727285</v>
      </c>
      <c r="AC197" s="417">
        <f>+H197*'Parametros Generales'!$J$10*'Parametros Generales'!$C$6*'Parametros Generales'!$C$11</f>
        <v>14738498.767401624</v>
      </c>
      <c r="AD197" s="417"/>
      <c r="AE197" s="417"/>
      <c r="AF197" s="417"/>
      <c r="AG197" s="417"/>
      <c r="AH197" s="417"/>
      <c r="AI197" s="417"/>
      <c r="AJ197" s="417"/>
      <c r="AK197" s="436"/>
      <c r="AL197" s="822"/>
    </row>
    <row r="198" spans="1:38" s="33" customFormat="1" hidden="1" outlineLevel="1">
      <c r="A198" s="1150"/>
      <c r="B198" s="821">
        <v>13</v>
      </c>
      <c r="C198" s="371" t="s">
        <v>2237</v>
      </c>
      <c r="D198" s="31">
        <f>+VLOOKUP(E198,Codigos!$A$1:$B$1123,2,0)</f>
        <v>13433</v>
      </c>
      <c r="E198" s="1111" t="s">
        <v>1721</v>
      </c>
      <c r="F198" s="1103">
        <v>1</v>
      </c>
      <c r="G198" s="30">
        <v>198</v>
      </c>
      <c r="H198" s="1061">
        <f>CEILING(G198,'Parametros Generales'!$C$8)</f>
        <v>200</v>
      </c>
      <c r="I198" s="1057" t="s">
        <v>167</v>
      </c>
      <c r="J198" s="1058">
        <v>200</v>
      </c>
      <c r="K198" s="1070" t="str">
        <f t="shared" si="17"/>
        <v>Ok</v>
      </c>
      <c r="L198" s="1077">
        <f t="shared" si="18"/>
        <v>0</v>
      </c>
      <c r="M198" s="1090">
        <f>+H198/'Parametros Generales'!$C$8</f>
        <v>8</v>
      </c>
      <c r="N198" s="1097"/>
      <c r="O198" s="1097"/>
      <c r="P198" s="1097"/>
      <c r="Q198" s="1097"/>
      <c r="R198" s="1097">
        <f>+(M198/'Parametros Generales'!$C$9)</f>
        <v>2</v>
      </c>
      <c r="S198" s="390"/>
      <c r="T198" s="390"/>
      <c r="U198" s="390"/>
      <c r="V198" s="389"/>
      <c r="W198" s="32">
        <f>+R198*'Componentes T.H.'!$Q$9*'Parametros Generales'!$C$6</f>
        <v>10037014.142000001</v>
      </c>
      <c r="X198" s="32">
        <f>(+VLOOKUP(C198,'Transporte y Viaticos'!$B$87:$L$120,2,0)*'Parametros Generales'!$C$7*R198)*(2/3)</f>
        <v>1556876.9096810224</v>
      </c>
      <c r="Y198" s="417"/>
      <c r="Z198" s="417"/>
      <c r="AA198" s="417"/>
      <c r="AB198" s="417">
        <f>+M198*'Parametros Generales'!$C$6*'Parametros Generales'!$J$9</f>
        <v>3895272.7272727285</v>
      </c>
      <c r="AC198" s="417">
        <f>+H198*'Parametros Generales'!$J$10*'Parametros Generales'!$C$6*'Parametros Generales'!$C$11</f>
        <v>14738498.767401624</v>
      </c>
      <c r="AD198" s="417"/>
      <c r="AE198" s="417"/>
      <c r="AF198" s="417"/>
      <c r="AG198" s="417"/>
      <c r="AH198" s="417"/>
      <c r="AI198" s="417"/>
      <c r="AJ198" s="417"/>
      <c r="AK198" s="436"/>
      <c r="AL198" s="822"/>
    </row>
    <row r="199" spans="1:38" s="33" customFormat="1" hidden="1" outlineLevel="1">
      <c r="A199" s="1150"/>
      <c r="B199" s="821">
        <v>13</v>
      </c>
      <c r="C199" s="371" t="s">
        <v>2237</v>
      </c>
      <c r="D199" s="31">
        <f>+VLOOKUP(E199,Codigos!$A$1:$B$1123,2,0)</f>
        <v>13442</v>
      </c>
      <c r="E199" s="1111" t="s">
        <v>1722</v>
      </c>
      <c r="F199" s="1103">
        <v>1</v>
      </c>
      <c r="G199" s="30">
        <v>198</v>
      </c>
      <c r="H199" s="1061">
        <f>CEILING(G199,'Parametros Generales'!$C$8)</f>
        <v>200</v>
      </c>
      <c r="I199" s="1057" t="s">
        <v>168</v>
      </c>
      <c r="J199" s="1058">
        <v>200</v>
      </c>
      <c r="K199" s="1070" t="str">
        <f t="shared" si="17"/>
        <v>Ok</v>
      </c>
      <c r="L199" s="1077">
        <f t="shared" si="18"/>
        <v>0</v>
      </c>
      <c r="M199" s="1090">
        <f>+H199/'Parametros Generales'!$C$8</f>
        <v>8</v>
      </c>
      <c r="N199" s="1097"/>
      <c r="O199" s="1097"/>
      <c r="P199" s="1097"/>
      <c r="Q199" s="1097"/>
      <c r="R199" s="1097">
        <f>+(M199/'Parametros Generales'!$C$9)</f>
        <v>2</v>
      </c>
      <c r="S199" s="390"/>
      <c r="T199" s="390"/>
      <c r="U199" s="390"/>
      <c r="V199" s="389"/>
      <c r="W199" s="32">
        <f>+R199*'Componentes T.H.'!$Q$9*'Parametros Generales'!$C$6</f>
        <v>10037014.142000001</v>
      </c>
      <c r="X199" s="32">
        <f>(+VLOOKUP(C199,'Transporte y Viaticos'!$B$87:$L$120,2,0)*'Parametros Generales'!$C$7*R199)*(2/3)</f>
        <v>1556876.9096810224</v>
      </c>
      <c r="Y199" s="417"/>
      <c r="Z199" s="417"/>
      <c r="AA199" s="417"/>
      <c r="AB199" s="417">
        <f>+M199*'Parametros Generales'!$C$6*'Parametros Generales'!$J$9</f>
        <v>3895272.7272727285</v>
      </c>
      <c r="AC199" s="417">
        <f>+H199*'Parametros Generales'!$J$10*'Parametros Generales'!$C$6*'Parametros Generales'!$C$11</f>
        <v>14738498.767401624</v>
      </c>
      <c r="AD199" s="417"/>
      <c r="AE199" s="417"/>
      <c r="AF199" s="417"/>
      <c r="AG199" s="417"/>
      <c r="AH199" s="417"/>
      <c r="AI199" s="417"/>
      <c r="AJ199" s="417"/>
      <c r="AK199" s="436"/>
      <c r="AL199" s="822"/>
    </row>
    <row r="200" spans="1:38" s="33" customFormat="1" hidden="1" outlineLevel="1">
      <c r="A200" s="1150"/>
      <c r="B200" s="821">
        <v>13</v>
      </c>
      <c r="C200" s="371" t="s">
        <v>2237</v>
      </c>
      <c r="D200" s="31">
        <f>+VLOOKUP(E200,Codigos!$A$1:$B$1123,2,0)</f>
        <v>13468</v>
      </c>
      <c r="E200" s="1111" t="s">
        <v>1723</v>
      </c>
      <c r="F200" s="1103">
        <v>1</v>
      </c>
      <c r="G200" s="30">
        <v>198</v>
      </c>
      <c r="H200" s="1061">
        <f>CEILING(G200,'Parametros Generales'!$C$8)</f>
        <v>200</v>
      </c>
      <c r="I200" s="1057" t="s">
        <v>169</v>
      </c>
      <c r="J200" s="1058">
        <v>200</v>
      </c>
      <c r="K200" s="1070" t="str">
        <f t="shared" si="17"/>
        <v>Ok</v>
      </c>
      <c r="L200" s="1077">
        <f t="shared" si="18"/>
        <v>0</v>
      </c>
      <c r="M200" s="1090">
        <f>+H200/'Parametros Generales'!$C$8</f>
        <v>8</v>
      </c>
      <c r="N200" s="1097"/>
      <c r="O200" s="1097"/>
      <c r="P200" s="1097"/>
      <c r="Q200" s="1097"/>
      <c r="R200" s="1097">
        <f>+(M200/'Parametros Generales'!$C$9)</f>
        <v>2</v>
      </c>
      <c r="S200" s="390"/>
      <c r="T200" s="390"/>
      <c r="U200" s="390"/>
      <c r="V200" s="389"/>
      <c r="W200" s="32">
        <f>+R200*'Componentes T.H.'!$Q$9*'Parametros Generales'!$C$6</f>
        <v>10037014.142000001</v>
      </c>
      <c r="X200" s="32">
        <f>(+VLOOKUP(C200,'Transporte y Viaticos'!$B$87:$L$120,2,0)*'Parametros Generales'!$C$7*R200)*(2/3)</f>
        <v>1556876.9096810224</v>
      </c>
      <c r="Y200" s="417"/>
      <c r="Z200" s="417"/>
      <c r="AA200" s="417"/>
      <c r="AB200" s="417">
        <f>+M200*'Parametros Generales'!$C$6*'Parametros Generales'!$J$9</f>
        <v>3895272.7272727285</v>
      </c>
      <c r="AC200" s="417">
        <f>+H200*'Parametros Generales'!$J$10*'Parametros Generales'!$C$6*'Parametros Generales'!$C$11</f>
        <v>14738498.767401624</v>
      </c>
      <c r="AD200" s="417"/>
      <c r="AE200" s="417"/>
      <c r="AF200" s="417"/>
      <c r="AG200" s="417"/>
      <c r="AH200" s="417"/>
      <c r="AI200" s="417"/>
      <c r="AJ200" s="417"/>
      <c r="AK200" s="436"/>
      <c r="AL200" s="822"/>
    </row>
    <row r="201" spans="1:38" s="33" customFormat="1" hidden="1" outlineLevel="1">
      <c r="A201" s="1150"/>
      <c r="B201" s="821">
        <v>13</v>
      </c>
      <c r="C201" s="371" t="s">
        <v>2237</v>
      </c>
      <c r="D201" s="31">
        <f>+VLOOKUP(E201,Codigos!$A$1:$B$1123,2,0)</f>
        <v>13458</v>
      </c>
      <c r="E201" s="1111" t="s">
        <v>1724</v>
      </c>
      <c r="F201" s="1103">
        <v>1</v>
      </c>
      <c r="G201" s="30">
        <v>198</v>
      </c>
      <c r="H201" s="1061">
        <f>CEILING(G201,'Parametros Generales'!$C$8)</f>
        <v>200</v>
      </c>
      <c r="I201" s="1057" t="s">
        <v>170</v>
      </c>
      <c r="J201" s="1058">
        <v>200</v>
      </c>
      <c r="K201" s="1070" t="str">
        <f t="shared" si="17"/>
        <v>Ok</v>
      </c>
      <c r="L201" s="1077">
        <f t="shared" si="18"/>
        <v>0</v>
      </c>
      <c r="M201" s="1090">
        <f>+H201/'Parametros Generales'!$C$8</f>
        <v>8</v>
      </c>
      <c r="N201" s="1097"/>
      <c r="O201" s="1097"/>
      <c r="P201" s="1097"/>
      <c r="Q201" s="1097"/>
      <c r="R201" s="1097">
        <f>+(M201/'Parametros Generales'!$C$9)</f>
        <v>2</v>
      </c>
      <c r="S201" s="390"/>
      <c r="T201" s="390"/>
      <c r="U201" s="390"/>
      <c r="V201" s="389"/>
      <c r="W201" s="32">
        <f>+R201*'Componentes T.H.'!$Q$9*'Parametros Generales'!$C$6</f>
        <v>10037014.142000001</v>
      </c>
      <c r="X201" s="32">
        <f>(+VLOOKUP(C201,'Transporte y Viaticos'!$B$87:$L$120,2,0)*'Parametros Generales'!$C$7*R201)*(2/3)</f>
        <v>1556876.9096810224</v>
      </c>
      <c r="Y201" s="417"/>
      <c r="Z201" s="417"/>
      <c r="AA201" s="417"/>
      <c r="AB201" s="417">
        <f>+M201*'Parametros Generales'!$C$6*'Parametros Generales'!$J$9</f>
        <v>3895272.7272727285</v>
      </c>
      <c r="AC201" s="417">
        <f>+H201*'Parametros Generales'!$J$10*'Parametros Generales'!$C$6*'Parametros Generales'!$C$11</f>
        <v>14738498.767401624</v>
      </c>
      <c r="AD201" s="417"/>
      <c r="AE201" s="417"/>
      <c r="AF201" s="417"/>
      <c r="AG201" s="417"/>
      <c r="AH201" s="417"/>
      <c r="AI201" s="417"/>
      <c r="AJ201" s="417"/>
      <c r="AK201" s="436"/>
      <c r="AL201" s="822"/>
    </row>
    <row r="202" spans="1:38" s="33" customFormat="1" hidden="1" outlineLevel="1">
      <c r="A202" s="1150"/>
      <c r="B202" s="821">
        <v>13</v>
      </c>
      <c r="C202" s="371" t="s">
        <v>2237</v>
      </c>
      <c r="D202" s="31">
        <f>+VLOOKUP(E202,Codigos!$A$1:$B$1123,2,0)</f>
        <v>13473</v>
      </c>
      <c r="E202" s="1111" t="s">
        <v>1725</v>
      </c>
      <c r="F202" s="1103">
        <v>1</v>
      </c>
      <c r="G202" s="30">
        <v>198</v>
      </c>
      <c r="H202" s="1061">
        <f>CEILING(G202,'Parametros Generales'!$C$8)</f>
        <v>200</v>
      </c>
      <c r="I202" s="1057" t="s">
        <v>171</v>
      </c>
      <c r="J202" s="1058">
        <v>200</v>
      </c>
      <c r="K202" s="1070" t="str">
        <f t="shared" si="17"/>
        <v>Ok</v>
      </c>
      <c r="L202" s="1077">
        <f t="shared" si="18"/>
        <v>0</v>
      </c>
      <c r="M202" s="1090">
        <f>+H202/'Parametros Generales'!$C$8</f>
        <v>8</v>
      </c>
      <c r="N202" s="1097"/>
      <c r="O202" s="1097"/>
      <c r="P202" s="1097"/>
      <c r="Q202" s="1097"/>
      <c r="R202" s="1097">
        <f>+(M202/'Parametros Generales'!$C$9)</f>
        <v>2</v>
      </c>
      <c r="S202" s="390"/>
      <c r="T202" s="390"/>
      <c r="U202" s="390"/>
      <c r="V202" s="389"/>
      <c r="W202" s="32">
        <f>+R202*'Componentes T.H.'!$Q$9*'Parametros Generales'!$C$6</f>
        <v>10037014.142000001</v>
      </c>
      <c r="X202" s="32">
        <f>(+VLOOKUP(C202,'Transporte y Viaticos'!$B$87:$L$120,2,0)*'Parametros Generales'!$C$7*R202)*(2/3)</f>
        <v>1556876.9096810224</v>
      </c>
      <c r="Y202" s="417"/>
      <c r="Z202" s="417"/>
      <c r="AA202" s="417"/>
      <c r="AB202" s="417">
        <f>+M202*'Parametros Generales'!$C$6*'Parametros Generales'!$J$9</f>
        <v>3895272.7272727285</v>
      </c>
      <c r="AC202" s="417">
        <f>+H202*'Parametros Generales'!$J$10*'Parametros Generales'!$C$6*'Parametros Generales'!$C$11</f>
        <v>14738498.767401624</v>
      </c>
      <c r="AD202" s="417"/>
      <c r="AE202" s="417"/>
      <c r="AF202" s="417"/>
      <c r="AG202" s="417"/>
      <c r="AH202" s="417"/>
      <c r="AI202" s="417"/>
      <c r="AJ202" s="417"/>
      <c r="AK202" s="436"/>
      <c r="AL202" s="822"/>
    </row>
    <row r="203" spans="1:38" s="33" customFormat="1" hidden="1" outlineLevel="1">
      <c r="A203" s="1150"/>
      <c r="B203" s="821">
        <v>13</v>
      </c>
      <c r="C203" s="371" t="s">
        <v>2237</v>
      </c>
      <c r="D203" s="31">
        <f>+VLOOKUP(E203,Codigos!$A$1:$B$1123,2,0)</f>
        <v>13549</v>
      </c>
      <c r="E203" s="1115" t="s">
        <v>2383</v>
      </c>
      <c r="F203" s="1103">
        <v>1</v>
      </c>
      <c r="G203" s="30">
        <v>0</v>
      </c>
      <c r="H203" s="1061">
        <v>100</v>
      </c>
      <c r="I203" s="1057" t="s">
        <v>813</v>
      </c>
      <c r="J203" s="1058">
        <v>100</v>
      </c>
      <c r="K203" s="1070" t="str">
        <f t="shared" si="17"/>
        <v>Ok</v>
      </c>
      <c r="L203" s="1077">
        <f t="shared" si="18"/>
        <v>0</v>
      </c>
      <c r="M203" s="1090">
        <f>+H203/'Parametros Generales'!$C$8</f>
        <v>4</v>
      </c>
      <c r="N203" s="1097"/>
      <c r="O203" s="1097"/>
      <c r="P203" s="1097"/>
      <c r="Q203" s="1097"/>
      <c r="R203" s="1097">
        <f>+(M203/'Parametros Generales'!$C$9)</f>
        <v>1</v>
      </c>
      <c r="S203" s="390"/>
      <c r="T203" s="390"/>
      <c r="U203" s="390"/>
      <c r="V203" s="389"/>
      <c r="W203" s="32">
        <f>+R203*'Componentes T.H.'!$Q$9*'Parametros Generales'!$C$6</f>
        <v>5018507.0710000005</v>
      </c>
      <c r="X203" s="32">
        <f>(+VLOOKUP(C203,'Transporte y Viaticos'!$B$87:$L$120,2,0)*'Parametros Generales'!$C$7*R203)*(2/3)</f>
        <v>778438.4548405112</v>
      </c>
      <c r="Y203" s="417"/>
      <c r="Z203" s="417"/>
      <c r="AA203" s="417"/>
      <c r="AB203" s="417">
        <f>+M203*'Parametros Generales'!$C$6*'Parametros Generales'!$J$9</f>
        <v>1947636.3636363642</v>
      </c>
      <c r="AC203" s="417">
        <f>+H203*'Parametros Generales'!$J$10*'Parametros Generales'!$C$6*'Parametros Generales'!$C$11</f>
        <v>7369249.3837008122</v>
      </c>
      <c r="AD203" s="417"/>
      <c r="AE203" s="417"/>
      <c r="AF203" s="417"/>
      <c r="AG203" s="417"/>
      <c r="AH203" s="417"/>
      <c r="AI203" s="417"/>
      <c r="AJ203" s="417"/>
      <c r="AK203" s="436"/>
      <c r="AL203" s="822"/>
    </row>
    <row r="204" spans="1:38" s="33" customFormat="1" hidden="1" outlineLevel="1">
      <c r="A204" s="1150"/>
      <c r="B204" s="821">
        <v>13</v>
      </c>
      <c r="C204" s="371" t="s">
        <v>2237</v>
      </c>
      <c r="D204" s="31">
        <f>+VLOOKUP(E204,Codigos!$A$1:$B$1123,2,0)</f>
        <v>13620</v>
      </c>
      <c r="E204" s="1111" t="s">
        <v>1726</v>
      </c>
      <c r="F204" s="1103">
        <v>1</v>
      </c>
      <c r="G204" s="30">
        <v>198</v>
      </c>
      <c r="H204" s="1061">
        <f>CEILING(G204,'Parametros Generales'!$C$8)</f>
        <v>200</v>
      </c>
      <c r="I204" s="1057" t="s">
        <v>172</v>
      </c>
      <c r="J204" s="1058">
        <v>200</v>
      </c>
      <c r="K204" s="1070" t="str">
        <f t="shared" si="17"/>
        <v>Ok</v>
      </c>
      <c r="L204" s="1077">
        <f t="shared" si="18"/>
        <v>0</v>
      </c>
      <c r="M204" s="1090">
        <f>+H204/'Parametros Generales'!$C$8</f>
        <v>8</v>
      </c>
      <c r="N204" s="1097"/>
      <c r="O204" s="1097"/>
      <c r="P204" s="1097"/>
      <c r="Q204" s="1097"/>
      <c r="R204" s="1097">
        <f>+(M204/'Parametros Generales'!$C$9)</f>
        <v>2</v>
      </c>
      <c r="S204" s="390"/>
      <c r="T204" s="390"/>
      <c r="U204" s="390"/>
      <c r="V204" s="389"/>
      <c r="W204" s="32">
        <f>+R204*'Componentes T.H.'!$Q$9*'Parametros Generales'!$C$6</f>
        <v>10037014.142000001</v>
      </c>
      <c r="X204" s="32">
        <f>(+VLOOKUP(C204,'Transporte y Viaticos'!$B$87:$L$120,2,0)*'Parametros Generales'!$C$7*R204)*(2/3)</f>
        <v>1556876.9096810224</v>
      </c>
      <c r="Y204" s="417"/>
      <c r="Z204" s="417"/>
      <c r="AA204" s="417"/>
      <c r="AB204" s="417">
        <f>+M204*'Parametros Generales'!$C$6*'Parametros Generales'!$J$9</f>
        <v>3895272.7272727285</v>
      </c>
      <c r="AC204" s="417">
        <f>+H204*'Parametros Generales'!$J$10*'Parametros Generales'!$C$6*'Parametros Generales'!$C$11</f>
        <v>14738498.767401624</v>
      </c>
      <c r="AD204" s="417"/>
      <c r="AE204" s="417"/>
      <c r="AF204" s="417"/>
      <c r="AG204" s="417"/>
      <c r="AH204" s="417"/>
      <c r="AI204" s="417"/>
      <c r="AJ204" s="417"/>
      <c r="AK204" s="436"/>
      <c r="AL204" s="822"/>
    </row>
    <row r="205" spans="1:38" s="33" customFormat="1" hidden="1" outlineLevel="1">
      <c r="A205" s="1150"/>
      <c r="B205" s="821">
        <v>13</v>
      </c>
      <c r="C205" s="371" t="s">
        <v>2237</v>
      </c>
      <c r="D205" s="31">
        <f>+VLOOKUP(E205,Codigos!$A$1:$B$1123,2,0)</f>
        <v>13654</v>
      </c>
      <c r="E205" s="1111" t="s">
        <v>1727</v>
      </c>
      <c r="F205" s="1103">
        <v>1</v>
      </c>
      <c r="G205" s="30">
        <v>198</v>
      </c>
      <c r="H205" s="1061">
        <f>CEILING(G205,'Parametros Generales'!$C$8)</f>
        <v>200</v>
      </c>
      <c r="I205" s="1057" t="s">
        <v>173</v>
      </c>
      <c r="J205" s="1058">
        <v>200</v>
      </c>
      <c r="K205" s="1070" t="str">
        <f t="shared" si="17"/>
        <v>Ok</v>
      </c>
      <c r="L205" s="1077">
        <f t="shared" si="18"/>
        <v>0</v>
      </c>
      <c r="M205" s="1090">
        <f>+H205/'Parametros Generales'!$C$8</f>
        <v>8</v>
      </c>
      <c r="N205" s="1097"/>
      <c r="O205" s="1097"/>
      <c r="P205" s="1097"/>
      <c r="Q205" s="1097"/>
      <c r="R205" s="1097">
        <f>+(M205/'Parametros Generales'!$C$9)</f>
        <v>2</v>
      </c>
      <c r="S205" s="390"/>
      <c r="T205" s="390"/>
      <c r="U205" s="390"/>
      <c r="V205" s="389"/>
      <c r="W205" s="32">
        <f>+R205*'Componentes T.H.'!$Q$9*'Parametros Generales'!$C$6</f>
        <v>10037014.142000001</v>
      </c>
      <c r="X205" s="32">
        <f>(+VLOOKUP(C205,'Transporte y Viaticos'!$B$87:$L$120,2,0)*'Parametros Generales'!$C$7*R205)*(2/3)</f>
        <v>1556876.9096810224</v>
      </c>
      <c r="Y205" s="417"/>
      <c r="Z205" s="417"/>
      <c r="AA205" s="417"/>
      <c r="AB205" s="417">
        <f>+M205*'Parametros Generales'!$C$6*'Parametros Generales'!$J$9</f>
        <v>3895272.7272727285</v>
      </c>
      <c r="AC205" s="417">
        <f>+H205*'Parametros Generales'!$J$10*'Parametros Generales'!$C$6*'Parametros Generales'!$C$11</f>
        <v>14738498.767401624</v>
      </c>
      <c r="AD205" s="417"/>
      <c r="AE205" s="417"/>
      <c r="AF205" s="417"/>
      <c r="AG205" s="417"/>
      <c r="AH205" s="417"/>
      <c r="AI205" s="417"/>
      <c r="AJ205" s="417"/>
      <c r="AK205" s="436"/>
      <c r="AL205" s="822"/>
    </row>
    <row r="206" spans="1:38" s="33" customFormat="1" hidden="1" outlineLevel="1">
      <c r="A206" s="1150"/>
      <c r="B206" s="821">
        <v>13</v>
      </c>
      <c r="C206" s="371" t="s">
        <v>2237</v>
      </c>
      <c r="D206" s="31">
        <f>+VLOOKUP(E206,Codigos!$A$1:$B$1123,2,0)</f>
        <v>13655</v>
      </c>
      <c r="E206" s="1111" t="s">
        <v>1728</v>
      </c>
      <c r="F206" s="1103">
        <v>1</v>
      </c>
      <c r="G206" s="30">
        <v>198</v>
      </c>
      <c r="H206" s="1061">
        <f>CEILING(G206,'Parametros Generales'!$C$8)</f>
        <v>200</v>
      </c>
      <c r="I206" s="1057" t="s">
        <v>2387</v>
      </c>
      <c r="J206" s="1058">
        <v>200</v>
      </c>
      <c r="K206" s="1070" t="str">
        <f t="shared" si="17"/>
        <v>Ok</v>
      </c>
      <c r="L206" s="1077">
        <f t="shared" si="18"/>
        <v>0</v>
      </c>
      <c r="M206" s="1090">
        <f>+H206/'Parametros Generales'!$C$8</f>
        <v>8</v>
      </c>
      <c r="N206" s="1097"/>
      <c r="O206" s="1097"/>
      <c r="P206" s="1097"/>
      <c r="Q206" s="1097"/>
      <c r="R206" s="1097">
        <f>+(M206/'Parametros Generales'!$C$9)</f>
        <v>2</v>
      </c>
      <c r="S206" s="390"/>
      <c r="T206" s="390"/>
      <c r="U206" s="390"/>
      <c r="V206" s="389"/>
      <c r="W206" s="32">
        <f>+R206*'Componentes T.H.'!$Q$9*'Parametros Generales'!$C$6</f>
        <v>10037014.142000001</v>
      </c>
      <c r="X206" s="32">
        <f>(+VLOOKUP(C206,'Transporte y Viaticos'!$B$87:$L$120,2,0)*'Parametros Generales'!$C$7*R206)*(2/3)</f>
        <v>1556876.9096810224</v>
      </c>
      <c r="Y206" s="417"/>
      <c r="Z206" s="417"/>
      <c r="AA206" s="417"/>
      <c r="AB206" s="417">
        <f>+M206*'Parametros Generales'!$C$6*'Parametros Generales'!$J$9</f>
        <v>3895272.7272727285</v>
      </c>
      <c r="AC206" s="417">
        <f>+H206*'Parametros Generales'!$J$10*'Parametros Generales'!$C$6*'Parametros Generales'!$C$11</f>
        <v>14738498.767401624</v>
      </c>
      <c r="AD206" s="417"/>
      <c r="AE206" s="417"/>
      <c r="AF206" s="417"/>
      <c r="AG206" s="417"/>
      <c r="AH206" s="417"/>
      <c r="AI206" s="417"/>
      <c r="AJ206" s="417"/>
      <c r="AK206" s="436"/>
      <c r="AL206" s="822"/>
    </row>
    <row r="207" spans="1:38" s="33" customFormat="1" hidden="1" outlineLevel="1">
      <c r="A207" s="1150"/>
      <c r="B207" s="821">
        <v>13</v>
      </c>
      <c r="C207" s="371" t="s">
        <v>2237</v>
      </c>
      <c r="D207" s="31">
        <f>+VLOOKUP(E207,Codigos!$A$1:$B$1123,2,0)</f>
        <v>13657</v>
      </c>
      <c r="E207" s="1111" t="s">
        <v>1729</v>
      </c>
      <c r="F207" s="1103">
        <v>1</v>
      </c>
      <c r="G207" s="30">
        <v>198</v>
      </c>
      <c r="H207" s="1061">
        <f>CEILING(G207,'Parametros Generales'!$C$8)</f>
        <v>200</v>
      </c>
      <c r="I207" s="1057" t="s">
        <v>174</v>
      </c>
      <c r="J207" s="1058">
        <v>200</v>
      </c>
      <c r="K207" s="1070" t="str">
        <f t="shared" si="17"/>
        <v>Ok</v>
      </c>
      <c r="L207" s="1077">
        <f t="shared" si="18"/>
        <v>0</v>
      </c>
      <c r="M207" s="1090">
        <f>+H207/'Parametros Generales'!$C$8</f>
        <v>8</v>
      </c>
      <c r="N207" s="1097"/>
      <c r="O207" s="1097"/>
      <c r="P207" s="1097"/>
      <c r="Q207" s="1097"/>
      <c r="R207" s="1097">
        <f>+(M207/'Parametros Generales'!$C$9)</f>
        <v>2</v>
      </c>
      <c r="S207" s="390"/>
      <c r="T207" s="390"/>
      <c r="U207" s="390"/>
      <c r="V207" s="389"/>
      <c r="W207" s="32">
        <f>+R207*'Componentes T.H.'!$Q$9*'Parametros Generales'!$C$6</f>
        <v>10037014.142000001</v>
      </c>
      <c r="X207" s="32">
        <f>(+VLOOKUP(C207,'Transporte y Viaticos'!$B$87:$L$120,2,0)*'Parametros Generales'!$C$7*R207)*(2/3)</f>
        <v>1556876.9096810224</v>
      </c>
      <c r="Y207" s="417"/>
      <c r="Z207" s="417"/>
      <c r="AA207" s="417"/>
      <c r="AB207" s="417">
        <f>+M207*'Parametros Generales'!$C$6*'Parametros Generales'!$J$9</f>
        <v>3895272.7272727285</v>
      </c>
      <c r="AC207" s="417">
        <f>+H207*'Parametros Generales'!$J$10*'Parametros Generales'!$C$6*'Parametros Generales'!$C$11</f>
        <v>14738498.767401624</v>
      </c>
      <c r="AD207" s="417"/>
      <c r="AE207" s="417"/>
      <c r="AF207" s="417"/>
      <c r="AG207" s="417"/>
      <c r="AH207" s="417"/>
      <c r="AI207" s="417"/>
      <c r="AJ207" s="417"/>
      <c r="AK207" s="436"/>
      <c r="AL207" s="822"/>
    </row>
    <row r="208" spans="1:38" s="33" customFormat="1" hidden="1" outlineLevel="1">
      <c r="A208" s="1150"/>
      <c r="B208" s="821">
        <v>13</v>
      </c>
      <c r="C208" s="371" t="s">
        <v>2237</v>
      </c>
      <c r="D208" s="31">
        <v>13667</v>
      </c>
      <c r="E208" s="1115" t="s">
        <v>819</v>
      </c>
      <c r="F208" s="1103">
        <v>1</v>
      </c>
      <c r="G208" s="30">
        <v>0</v>
      </c>
      <c r="H208" s="1061">
        <v>100</v>
      </c>
      <c r="I208" s="1057" t="s">
        <v>819</v>
      </c>
      <c r="J208" s="1058">
        <v>100</v>
      </c>
      <c r="K208" s="1070" t="str">
        <f t="shared" si="17"/>
        <v>Ok</v>
      </c>
      <c r="L208" s="1077">
        <f t="shared" si="18"/>
        <v>0</v>
      </c>
      <c r="M208" s="1090">
        <f>+H208/'Parametros Generales'!$C$8</f>
        <v>4</v>
      </c>
      <c r="N208" s="1097"/>
      <c r="O208" s="1097"/>
      <c r="P208" s="1097"/>
      <c r="Q208" s="1097"/>
      <c r="R208" s="1097">
        <f>+(M208/'Parametros Generales'!$C$9)</f>
        <v>1</v>
      </c>
      <c r="S208" s="390"/>
      <c r="T208" s="390"/>
      <c r="U208" s="390"/>
      <c r="V208" s="389"/>
      <c r="W208" s="32">
        <f>+R208*'Componentes T.H.'!$Q$9*'Parametros Generales'!$C$6</f>
        <v>5018507.0710000005</v>
      </c>
      <c r="X208" s="32">
        <f>(+VLOOKUP(C208,'Transporte y Viaticos'!$B$87:$L$120,2,0)*'Parametros Generales'!$C$7*R208)*(2/3)</f>
        <v>778438.4548405112</v>
      </c>
      <c r="Y208" s="417"/>
      <c r="Z208" s="417"/>
      <c r="AA208" s="417"/>
      <c r="AB208" s="417">
        <f>+M208*'Parametros Generales'!$C$6*'Parametros Generales'!$J$9</f>
        <v>1947636.3636363642</v>
      </c>
      <c r="AC208" s="417">
        <f>+H208*'Parametros Generales'!$J$10*'Parametros Generales'!$C$6*'Parametros Generales'!$C$11</f>
        <v>7369249.3837008122</v>
      </c>
      <c r="AD208" s="417"/>
      <c r="AE208" s="417"/>
      <c r="AF208" s="417"/>
      <c r="AG208" s="417"/>
      <c r="AH208" s="417"/>
      <c r="AI208" s="417"/>
      <c r="AJ208" s="417"/>
      <c r="AK208" s="436"/>
      <c r="AL208" s="822"/>
    </row>
    <row r="209" spans="1:38" s="33" customFormat="1" hidden="1" outlineLevel="1">
      <c r="A209" s="1150"/>
      <c r="B209" s="821">
        <v>13</v>
      </c>
      <c r="C209" s="371" t="s">
        <v>2237</v>
      </c>
      <c r="D209" s="31">
        <f>+VLOOKUP(E209,Codigos!$A$1:$B$1123,2,0)</f>
        <v>13670</v>
      </c>
      <c r="E209" s="1111" t="s">
        <v>1730</v>
      </c>
      <c r="F209" s="1103">
        <v>1</v>
      </c>
      <c r="G209" s="30">
        <v>198</v>
      </c>
      <c r="H209" s="1061">
        <f>CEILING(G209,'Parametros Generales'!$C$8)</f>
        <v>200</v>
      </c>
      <c r="I209" s="1057" t="s">
        <v>175</v>
      </c>
      <c r="J209" s="1058">
        <v>200</v>
      </c>
      <c r="K209" s="1070" t="str">
        <f t="shared" si="17"/>
        <v>Ok</v>
      </c>
      <c r="L209" s="1077">
        <f t="shared" si="18"/>
        <v>0</v>
      </c>
      <c r="M209" s="1090">
        <f>+H209/'Parametros Generales'!$C$8</f>
        <v>8</v>
      </c>
      <c r="N209" s="1097"/>
      <c r="O209" s="1097"/>
      <c r="P209" s="1097"/>
      <c r="Q209" s="1097"/>
      <c r="R209" s="1097">
        <f>+(M209/'Parametros Generales'!$C$9)</f>
        <v>2</v>
      </c>
      <c r="S209" s="390"/>
      <c r="T209" s="390"/>
      <c r="U209" s="390"/>
      <c r="V209" s="389"/>
      <c r="W209" s="32">
        <f>+R209*'Componentes T.H.'!$Q$9*'Parametros Generales'!$C$6</f>
        <v>10037014.142000001</v>
      </c>
      <c r="X209" s="32">
        <f>(+VLOOKUP(C209,'Transporte y Viaticos'!$B$87:$L$120,2,0)*'Parametros Generales'!$C$7*R209)*(2/3)</f>
        <v>1556876.9096810224</v>
      </c>
      <c r="Y209" s="417"/>
      <c r="Z209" s="417"/>
      <c r="AA209" s="417"/>
      <c r="AB209" s="417">
        <f>+M209*'Parametros Generales'!$C$6*'Parametros Generales'!$J$9</f>
        <v>3895272.7272727285</v>
      </c>
      <c r="AC209" s="417">
        <f>+H209*'Parametros Generales'!$J$10*'Parametros Generales'!$C$6*'Parametros Generales'!$C$11</f>
        <v>14738498.767401624</v>
      </c>
      <c r="AD209" s="417"/>
      <c r="AE209" s="417"/>
      <c r="AF209" s="417"/>
      <c r="AG209" s="417"/>
      <c r="AH209" s="417"/>
      <c r="AI209" s="417"/>
      <c r="AJ209" s="417"/>
      <c r="AK209" s="436"/>
      <c r="AL209" s="822"/>
    </row>
    <row r="210" spans="1:38" s="33" customFormat="1" hidden="1" outlineLevel="1">
      <c r="A210" s="1150"/>
      <c r="B210" s="821">
        <v>13</v>
      </c>
      <c r="C210" s="371" t="s">
        <v>2237</v>
      </c>
      <c r="D210" s="31">
        <f>+VLOOKUP(E210,Codigos!$A$1:$B$1123,2,0)</f>
        <v>13673</v>
      </c>
      <c r="E210" s="1111" t="s">
        <v>1731</v>
      </c>
      <c r="F210" s="1103">
        <v>1</v>
      </c>
      <c r="G210" s="30">
        <v>198</v>
      </c>
      <c r="H210" s="1061">
        <f>CEILING(G210,'Parametros Generales'!$C$8)</f>
        <v>200</v>
      </c>
      <c r="I210" s="1057" t="s">
        <v>176</v>
      </c>
      <c r="J210" s="1058">
        <v>200</v>
      </c>
      <c r="K210" s="1070" t="str">
        <f t="shared" si="17"/>
        <v>Ok</v>
      </c>
      <c r="L210" s="1077">
        <f t="shared" si="18"/>
        <v>0</v>
      </c>
      <c r="M210" s="1090">
        <f>+H210/'Parametros Generales'!$C$8</f>
        <v>8</v>
      </c>
      <c r="N210" s="1097"/>
      <c r="O210" s="1097"/>
      <c r="P210" s="1097"/>
      <c r="Q210" s="1097"/>
      <c r="R210" s="1097">
        <f>+(M210/'Parametros Generales'!$C$9)</f>
        <v>2</v>
      </c>
      <c r="S210" s="390"/>
      <c r="T210" s="390"/>
      <c r="U210" s="390"/>
      <c r="V210" s="389"/>
      <c r="W210" s="32">
        <f>+R210*'Componentes T.H.'!$Q$9*'Parametros Generales'!$C$6</f>
        <v>10037014.142000001</v>
      </c>
      <c r="X210" s="32">
        <f>(+VLOOKUP(C210,'Transporte y Viaticos'!$B$87:$L$120,2,0)*'Parametros Generales'!$C$7*R210)*(2/3)</f>
        <v>1556876.9096810224</v>
      </c>
      <c r="Y210" s="417"/>
      <c r="Z210" s="417"/>
      <c r="AA210" s="417"/>
      <c r="AB210" s="417">
        <f>+M210*'Parametros Generales'!$C$6*'Parametros Generales'!$J$9</f>
        <v>3895272.7272727285</v>
      </c>
      <c r="AC210" s="417">
        <f>+H210*'Parametros Generales'!$J$10*'Parametros Generales'!$C$6*'Parametros Generales'!$C$11</f>
        <v>14738498.767401624</v>
      </c>
      <c r="AD210" s="417"/>
      <c r="AE210" s="417"/>
      <c r="AF210" s="417"/>
      <c r="AG210" s="417"/>
      <c r="AH210" s="417"/>
      <c r="AI210" s="417"/>
      <c r="AJ210" s="417"/>
      <c r="AK210" s="436"/>
      <c r="AL210" s="822"/>
    </row>
    <row r="211" spans="1:38" s="33" customFormat="1" hidden="1" outlineLevel="1">
      <c r="A211" s="1150"/>
      <c r="B211" s="821">
        <v>13</v>
      </c>
      <c r="C211" s="371" t="s">
        <v>2237</v>
      </c>
      <c r="D211" s="31">
        <f>+VLOOKUP(E211,Codigos!$A$1:$B$1123,2,0)</f>
        <v>13683</v>
      </c>
      <c r="E211" s="1111" t="s">
        <v>1732</v>
      </c>
      <c r="F211" s="1103">
        <v>1</v>
      </c>
      <c r="G211" s="30">
        <v>198</v>
      </c>
      <c r="H211" s="1061">
        <f>CEILING(G211,'Parametros Generales'!$C$8)</f>
        <v>200</v>
      </c>
      <c r="I211" s="1057" t="s">
        <v>177</v>
      </c>
      <c r="J211" s="1058">
        <v>200</v>
      </c>
      <c r="K211" s="1070" t="str">
        <f t="shared" si="17"/>
        <v>Ok</v>
      </c>
      <c r="L211" s="1077">
        <f t="shared" si="18"/>
        <v>0</v>
      </c>
      <c r="M211" s="1090">
        <f>+H211/'Parametros Generales'!$C$8</f>
        <v>8</v>
      </c>
      <c r="N211" s="1097"/>
      <c r="O211" s="1097"/>
      <c r="P211" s="1097"/>
      <c r="Q211" s="1097"/>
      <c r="R211" s="1097">
        <f>+(M211/'Parametros Generales'!$C$9)</f>
        <v>2</v>
      </c>
      <c r="S211" s="390"/>
      <c r="T211" s="390"/>
      <c r="U211" s="390"/>
      <c r="V211" s="389"/>
      <c r="W211" s="32">
        <f>+R211*'Componentes T.H.'!$Q$9*'Parametros Generales'!$C$6</f>
        <v>10037014.142000001</v>
      </c>
      <c r="X211" s="32">
        <f>(+VLOOKUP(C211,'Transporte y Viaticos'!$B$87:$L$120,2,0)*'Parametros Generales'!$C$7*R211)*(2/3)</f>
        <v>1556876.9096810224</v>
      </c>
      <c r="Y211" s="417"/>
      <c r="Z211" s="417"/>
      <c r="AA211" s="417"/>
      <c r="AB211" s="417">
        <f>+M211*'Parametros Generales'!$C$6*'Parametros Generales'!$J$9</f>
        <v>3895272.7272727285</v>
      </c>
      <c r="AC211" s="417">
        <f>+H211*'Parametros Generales'!$J$10*'Parametros Generales'!$C$6*'Parametros Generales'!$C$11</f>
        <v>14738498.767401624</v>
      </c>
      <c r="AD211" s="417"/>
      <c r="AE211" s="417"/>
      <c r="AF211" s="417"/>
      <c r="AG211" s="417"/>
      <c r="AH211" s="417"/>
      <c r="AI211" s="417"/>
      <c r="AJ211" s="417"/>
      <c r="AK211" s="436"/>
      <c r="AL211" s="822"/>
    </row>
    <row r="212" spans="1:38" s="33" customFormat="1" hidden="1" outlineLevel="1">
      <c r="A212" s="1150"/>
      <c r="B212" s="821">
        <v>13</v>
      </c>
      <c r="C212" s="371" t="s">
        <v>2237</v>
      </c>
      <c r="D212" s="31">
        <f>+VLOOKUP(E212,Codigos!$A$1:$B$1123,2,0)</f>
        <v>13688</v>
      </c>
      <c r="E212" s="1111" t="s">
        <v>1733</v>
      </c>
      <c r="F212" s="1103">
        <v>1</v>
      </c>
      <c r="G212" s="30">
        <v>198</v>
      </c>
      <c r="H212" s="1061">
        <f>CEILING(G212,'Parametros Generales'!$C$8)</f>
        <v>200</v>
      </c>
      <c r="I212" s="1057" t="s">
        <v>178</v>
      </c>
      <c r="J212" s="1058">
        <v>200</v>
      </c>
      <c r="K212" s="1070" t="str">
        <f t="shared" si="17"/>
        <v>Ok</v>
      </c>
      <c r="L212" s="1077">
        <f t="shared" si="18"/>
        <v>0</v>
      </c>
      <c r="M212" s="1090">
        <f>+H212/'Parametros Generales'!$C$8</f>
        <v>8</v>
      </c>
      <c r="N212" s="1097"/>
      <c r="O212" s="1097"/>
      <c r="P212" s="1097"/>
      <c r="Q212" s="1097"/>
      <c r="R212" s="1097">
        <f>+(M212/'Parametros Generales'!$C$9)</f>
        <v>2</v>
      </c>
      <c r="S212" s="390"/>
      <c r="T212" s="390"/>
      <c r="U212" s="390"/>
      <c r="V212" s="389"/>
      <c r="W212" s="32">
        <f>+R212*'Componentes T.H.'!$Q$9*'Parametros Generales'!$C$6</f>
        <v>10037014.142000001</v>
      </c>
      <c r="X212" s="32">
        <f>(+VLOOKUP(C212,'Transporte y Viaticos'!$B$87:$L$120,2,0)*'Parametros Generales'!$C$7*R212)*(2/3)</f>
        <v>1556876.9096810224</v>
      </c>
      <c r="Y212" s="417"/>
      <c r="Z212" s="417"/>
      <c r="AA212" s="417"/>
      <c r="AB212" s="417">
        <f>+M212*'Parametros Generales'!$C$6*'Parametros Generales'!$J$9</f>
        <v>3895272.7272727285</v>
      </c>
      <c r="AC212" s="417">
        <f>+H212*'Parametros Generales'!$J$10*'Parametros Generales'!$C$6*'Parametros Generales'!$C$11</f>
        <v>14738498.767401624</v>
      </c>
      <c r="AD212" s="417"/>
      <c r="AE212" s="417"/>
      <c r="AF212" s="417"/>
      <c r="AG212" s="417"/>
      <c r="AH212" s="417"/>
      <c r="AI212" s="417"/>
      <c r="AJ212" s="417"/>
      <c r="AK212" s="436"/>
      <c r="AL212" s="822"/>
    </row>
    <row r="213" spans="1:38" s="33" customFormat="1" hidden="1" outlineLevel="1">
      <c r="A213" s="1150"/>
      <c r="B213" s="821">
        <v>13</v>
      </c>
      <c r="C213" s="371" t="s">
        <v>2237</v>
      </c>
      <c r="D213" s="31">
        <f>+VLOOKUP(E213,Codigos!$A$1:$B$1123,2,0)</f>
        <v>13744</v>
      </c>
      <c r="E213" s="1111" t="s">
        <v>1734</v>
      </c>
      <c r="F213" s="1103">
        <v>1</v>
      </c>
      <c r="G213" s="30">
        <v>198</v>
      </c>
      <c r="H213" s="1061">
        <f>CEILING(G213,'Parametros Generales'!$C$8)</f>
        <v>200</v>
      </c>
      <c r="I213" s="1057" t="s">
        <v>179</v>
      </c>
      <c r="J213" s="1058">
        <v>200</v>
      </c>
      <c r="K213" s="1070" t="str">
        <f t="shared" si="17"/>
        <v>Ok</v>
      </c>
      <c r="L213" s="1077">
        <f t="shared" si="18"/>
        <v>0</v>
      </c>
      <c r="M213" s="1090">
        <f>+H213/'Parametros Generales'!$C$8</f>
        <v>8</v>
      </c>
      <c r="N213" s="1097"/>
      <c r="O213" s="1097"/>
      <c r="P213" s="1097"/>
      <c r="Q213" s="1097"/>
      <c r="R213" s="1097">
        <f>+(M213/'Parametros Generales'!$C$9)</f>
        <v>2</v>
      </c>
      <c r="S213" s="390"/>
      <c r="T213" s="390"/>
      <c r="U213" s="390"/>
      <c r="V213" s="389"/>
      <c r="W213" s="32">
        <f>+R213*'Componentes T.H.'!$Q$9*'Parametros Generales'!$C$6</f>
        <v>10037014.142000001</v>
      </c>
      <c r="X213" s="32">
        <f>(+VLOOKUP(C213,'Transporte y Viaticos'!$B$87:$L$120,2,0)*'Parametros Generales'!$C$7*R213)*(2/3)</f>
        <v>1556876.9096810224</v>
      </c>
      <c r="Y213" s="417"/>
      <c r="Z213" s="417"/>
      <c r="AA213" s="417"/>
      <c r="AB213" s="417">
        <f>+M213*'Parametros Generales'!$C$6*'Parametros Generales'!$J$9</f>
        <v>3895272.7272727285</v>
      </c>
      <c r="AC213" s="417">
        <f>+H213*'Parametros Generales'!$J$10*'Parametros Generales'!$C$6*'Parametros Generales'!$C$11</f>
        <v>14738498.767401624</v>
      </c>
      <c r="AD213" s="417"/>
      <c r="AE213" s="417"/>
      <c r="AF213" s="417"/>
      <c r="AG213" s="417"/>
      <c r="AH213" s="417"/>
      <c r="AI213" s="417"/>
      <c r="AJ213" s="417"/>
      <c r="AK213" s="436"/>
      <c r="AL213" s="822"/>
    </row>
    <row r="214" spans="1:38" s="33" customFormat="1" hidden="1" outlineLevel="1">
      <c r="A214" s="1150"/>
      <c r="B214" s="821">
        <v>13</v>
      </c>
      <c r="C214" s="371" t="s">
        <v>2237</v>
      </c>
      <c r="D214" s="31">
        <f>+VLOOKUP(E214,Codigos!$A$1:$B$1123,2,0)</f>
        <v>13760</v>
      </c>
      <c r="E214" s="1111" t="s">
        <v>1735</v>
      </c>
      <c r="F214" s="1103">
        <v>1</v>
      </c>
      <c r="G214" s="30">
        <v>198</v>
      </c>
      <c r="H214" s="1061">
        <f>CEILING(G214,'Parametros Generales'!$C$8)</f>
        <v>200</v>
      </c>
      <c r="I214" s="1057" t="s">
        <v>180</v>
      </c>
      <c r="J214" s="1058">
        <v>200</v>
      </c>
      <c r="K214" s="1070" t="str">
        <f t="shared" si="17"/>
        <v>Ok</v>
      </c>
      <c r="L214" s="1077">
        <f t="shared" si="18"/>
        <v>0</v>
      </c>
      <c r="M214" s="1090">
        <f>+H214/'Parametros Generales'!$C$8</f>
        <v>8</v>
      </c>
      <c r="N214" s="1097"/>
      <c r="O214" s="1097"/>
      <c r="P214" s="1097"/>
      <c r="Q214" s="1097"/>
      <c r="R214" s="1097">
        <f>+(M214/'Parametros Generales'!$C$9)</f>
        <v>2</v>
      </c>
      <c r="S214" s="390"/>
      <c r="T214" s="390"/>
      <c r="U214" s="390"/>
      <c r="V214" s="389"/>
      <c r="W214" s="32">
        <f>+R214*'Componentes T.H.'!$Q$9*'Parametros Generales'!$C$6</f>
        <v>10037014.142000001</v>
      </c>
      <c r="X214" s="32">
        <f>(+VLOOKUP(C214,'Transporte y Viaticos'!$B$87:$L$120,2,0)*'Parametros Generales'!$C$7*R214)*(2/3)</f>
        <v>1556876.9096810224</v>
      </c>
      <c r="Y214" s="417"/>
      <c r="Z214" s="417"/>
      <c r="AA214" s="417"/>
      <c r="AB214" s="417">
        <f>+M214*'Parametros Generales'!$C$6*'Parametros Generales'!$J$9</f>
        <v>3895272.7272727285</v>
      </c>
      <c r="AC214" s="417">
        <f>+H214*'Parametros Generales'!$J$10*'Parametros Generales'!$C$6*'Parametros Generales'!$C$11</f>
        <v>14738498.767401624</v>
      </c>
      <c r="AD214" s="417"/>
      <c r="AE214" s="417"/>
      <c r="AF214" s="417"/>
      <c r="AG214" s="417"/>
      <c r="AH214" s="417"/>
      <c r="AI214" s="417"/>
      <c r="AJ214" s="417"/>
      <c r="AK214" s="436"/>
      <c r="AL214" s="822"/>
    </row>
    <row r="215" spans="1:38" s="33" customFormat="1" hidden="1" outlineLevel="1">
      <c r="A215" s="1150"/>
      <c r="B215" s="821">
        <v>13</v>
      </c>
      <c r="C215" s="371" t="s">
        <v>2237</v>
      </c>
      <c r="D215" s="31">
        <f>+VLOOKUP(E215,Codigos!$A$1:$B$1123,2,0)</f>
        <v>13780</v>
      </c>
      <c r="E215" s="1111" t="s">
        <v>1736</v>
      </c>
      <c r="F215" s="1103">
        <v>1</v>
      </c>
      <c r="G215" s="30">
        <v>198</v>
      </c>
      <c r="H215" s="1061">
        <f>CEILING(G215,'Parametros Generales'!$C$8)</f>
        <v>200</v>
      </c>
      <c r="I215" s="1057" t="s">
        <v>181</v>
      </c>
      <c r="J215" s="1058">
        <v>200</v>
      </c>
      <c r="K215" s="1070" t="str">
        <f t="shared" si="17"/>
        <v>Ok</v>
      </c>
      <c r="L215" s="1077">
        <f t="shared" si="18"/>
        <v>0</v>
      </c>
      <c r="M215" s="1090">
        <f>+H215/'Parametros Generales'!$C$8</f>
        <v>8</v>
      </c>
      <c r="N215" s="1097"/>
      <c r="O215" s="1097"/>
      <c r="P215" s="1097"/>
      <c r="Q215" s="1097"/>
      <c r="R215" s="1097">
        <f>+(M215/'Parametros Generales'!$C$9)</f>
        <v>2</v>
      </c>
      <c r="S215" s="390"/>
      <c r="T215" s="390"/>
      <c r="U215" s="390"/>
      <c r="V215" s="389"/>
      <c r="W215" s="32">
        <f>+R215*'Componentes T.H.'!$Q$9*'Parametros Generales'!$C$6</f>
        <v>10037014.142000001</v>
      </c>
      <c r="X215" s="32">
        <f>(+VLOOKUP(C215,'Transporte y Viaticos'!$B$87:$L$120,2,0)*'Parametros Generales'!$C$7*R215)*(2/3)</f>
        <v>1556876.9096810224</v>
      </c>
      <c r="Y215" s="417"/>
      <c r="Z215" s="417"/>
      <c r="AA215" s="417"/>
      <c r="AB215" s="417">
        <f>+M215*'Parametros Generales'!$C$6*'Parametros Generales'!$J$9</f>
        <v>3895272.7272727285</v>
      </c>
      <c r="AC215" s="417">
        <f>+H215*'Parametros Generales'!$J$10*'Parametros Generales'!$C$6*'Parametros Generales'!$C$11</f>
        <v>14738498.767401624</v>
      </c>
      <c r="AD215" s="417"/>
      <c r="AE215" s="417"/>
      <c r="AF215" s="417"/>
      <c r="AG215" s="417"/>
      <c r="AH215" s="417"/>
      <c r="AI215" s="417"/>
      <c r="AJ215" s="417"/>
      <c r="AK215" s="436"/>
      <c r="AL215" s="822"/>
    </row>
    <row r="216" spans="1:38" s="33" customFormat="1" hidden="1" outlineLevel="1">
      <c r="A216" s="1150"/>
      <c r="B216" s="821">
        <v>13</v>
      </c>
      <c r="C216" s="371" t="s">
        <v>2237</v>
      </c>
      <c r="D216" s="31">
        <f>+VLOOKUP(E216,Codigos!$A$1:$B$1123,2,0)</f>
        <v>13810</v>
      </c>
      <c r="E216" s="1111" t="s">
        <v>1737</v>
      </c>
      <c r="F216" s="1103">
        <v>1</v>
      </c>
      <c r="G216" s="30">
        <v>198</v>
      </c>
      <c r="H216" s="1061">
        <f>CEILING(G216,'Parametros Generales'!$C$8)</f>
        <v>200</v>
      </c>
      <c r="I216" s="1057" t="s">
        <v>182</v>
      </c>
      <c r="J216" s="1058">
        <v>200</v>
      </c>
      <c r="K216" s="1070" t="str">
        <f t="shared" si="17"/>
        <v>Ok</v>
      </c>
      <c r="L216" s="1077">
        <f t="shared" si="18"/>
        <v>0</v>
      </c>
      <c r="M216" s="1090">
        <f>+H216/'Parametros Generales'!$C$8</f>
        <v>8</v>
      </c>
      <c r="N216" s="1097"/>
      <c r="O216" s="1097"/>
      <c r="P216" s="1097"/>
      <c r="Q216" s="1097"/>
      <c r="R216" s="1097">
        <f>+(M216/'Parametros Generales'!$C$9)</f>
        <v>2</v>
      </c>
      <c r="S216" s="390"/>
      <c r="T216" s="390"/>
      <c r="U216" s="390"/>
      <c r="V216" s="389"/>
      <c r="W216" s="32">
        <f>+R216*'Componentes T.H.'!$Q$9*'Parametros Generales'!$C$6</f>
        <v>10037014.142000001</v>
      </c>
      <c r="X216" s="32">
        <f>(+VLOOKUP(C216,'Transporte y Viaticos'!$B$87:$L$120,2,0)*'Parametros Generales'!$C$7*R216)*(2/3)</f>
        <v>1556876.9096810224</v>
      </c>
      <c r="Y216" s="417"/>
      <c r="Z216" s="417"/>
      <c r="AA216" s="417"/>
      <c r="AB216" s="417">
        <f>+M216*'Parametros Generales'!$C$6*'Parametros Generales'!$J$9</f>
        <v>3895272.7272727285</v>
      </c>
      <c r="AC216" s="417">
        <f>+H216*'Parametros Generales'!$J$10*'Parametros Generales'!$C$6*'Parametros Generales'!$C$11</f>
        <v>14738498.767401624</v>
      </c>
      <c r="AD216" s="417"/>
      <c r="AE216" s="417"/>
      <c r="AF216" s="417"/>
      <c r="AG216" s="417"/>
      <c r="AH216" s="417"/>
      <c r="AI216" s="417"/>
      <c r="AJ216" s="417"/>
      <c r="AK216" s="436"/>
      <c r="AL216" s="822"/>
    </row>
    <row r="217" spans="1:38" s="33" customFormat="1" hidden="1" outlineLevel="1">
      <c r="A217" s="1150"/>
      <c r="B217" s="821">
        <v>13</v>
      </c>
      <c r="C217" s="371" t="s">
        <v>2237</v>
      </c>
      <c r="D217" s="31">
        <f>+VLOOKUP(E217,Codigos!$A$1:$B$1123,2,0)</f>
        <v>13836</v>
      </c>
      <c r="E217" s="1111" t="s">
        <v>1738</v>
      </c>
      <c r="F217" s="1103">
        <v>1</v>
      </c>
      <c r="G217" s="30">
        <v>198</v>
      </c>
      <c r="H217" s="1061">
        <f>CEILING(G217,'Parametros Generales'!$C$8)</f>
        <v>200</v>
      </c>
      <c r="I217" s="1057" t="s">
        <v>183</v>
      </c>
      <c r="J217" s="1058">
        <v>200</v>
      </c>
      <c r="K217" s="1070" t="str">
        <f t="shared" si="17"/>
        <v>Ok</v>
      </c>
      <c r="L217" s="1077">
        <f t="shared" si="18"/>
        <v>0</v>
      </c>
      <c r="M217" s="1090">
        <f>+H217/'Parametros Generales'!$C$8</f>
        <v>8</v>
      </c>
      <c r="N217" s="1097"/>
      <c r="O217" s="1097"/>
      <c r="P217" s="1097"/>
      <c r="Q217" s="1097"/>
      <c r="R217" s="1097">
        <f>+(M217/'Parametros Generales'!$C$9)</f>
        <v>2</v>
      </c>
      <c r="S217" s="390"/>
      <c r="T217" s="390"/>
      <c r="U217" s="390"/>
      <c r="V217" s="389"/>
      <c r="W217" s="32">
        <f>+R217*'Componentes T.H.'!$Q$9*'Parametros Generales'!$C$6</f>
        <v>10037014.142000001</v>
      </c>
      <c r="X217" s="32">
        <f>(+VLOOKUP(C217,'Transporte y Viaticos'!$B$87:$L$120,2,0)*'Parametros Generales'!$C$7*R217)*(2/3)</f>
        <v>1556876.9096810224</v>
      </c>
      <c r="Y217" s="417"/>
      <c r="Z217" s="417"/>
      <c r="AA217" s="417"/>
      <c r="AB217" s="417">
        <f>+M217*'Parametros Generales'!$C$6*'Parametros Generales'!$J$9</f>
        <v>3895272.7272727285</v>
      </c>
      <c r="AC217" s="417">
        <f>+H217*'Parametros Generales'!$J$10*'Parametros Generales'!$C$6*'Parametros Generales'!$C$11</f>
        <v>14738498.767401624</v>
      </c>
      <c r="AD217" s="417"/>
      <c r="AE217" s="417"/>
      <c r="AF217" s="417"/>
      <c r="AG217" s="417"/>
      <c r="AH217" s="417"/>
      <c r="AI217" s="417"/>
      <c r="AJ217" s="417"/>
      <c r="AK217" s="436"/>
      <c r="AL217" s="822"/>
    </row>
    <row r="218" spans="1:38" s="33" customFormat="1" hidden="1" outlineLevel="1">
      <c r="A218" s="1150"/>
      <c r="B218" s="823">
        <v>13</v>
      </c>
      <c r="C218" s="373" t="s">
        <v>2237</v>
      </c>
      <c r="D218" s="374">
        <f>+VLOOKUP(E218,Codigos!$A$1:$B$1123,2,0)</f>
        <v>13873</v>
      </c>
      <c r="E218" s="1113" t="s">
        <v>1739</v>
      </c>
      <c r="F218" s="1104">
        <v>1</v>
      </c>
      <c r="G218" s="375">
        <v>198</v>
      </c>
      <c r="H218" s="1062">
        <f>CEILING(G218,'Parametros Generales'!$C$8)</f>
        <v>200</v>
      </c>
      <c r="I218" s="1057" t="s">
        <v>184</v>
      </c>
      <c r="J218" s="1058">
        <v>200</v>
      </c>
      <c r="K218" s="1070" t="str">
        <f t="shared" si="17"/>
        <v>Ok</v>
      </c>
      <c r="L218" s="1077">
        <f t="shared" si="18"/>
        <v>0</v>
      </c>
      <c r="M218" s="1091">
        <f>+H218/'Parametros Generales'!$C$8</f>
        <v>8</v>
      </c>
      <c r="N218" s="1098"/>
      <c r="O218" s="1098"/>
      <c r="P218" s="1098"/>
      <c r="Q218" s="1098"/>
      <c r="R218" s="1098">
        <f>+(M218/'Parametros Generales'!$C$9)</f>
        <v>2</v>
      </c>
      <c r="S218" s="395"/>
      <c r="T218" s="395"/>
      <c r="U218" s="395"/>
      <c r="V218" s="396"/>
      <c r="W218" s="376">
        <f>+R218*'Componentes T.H.'!$Q$9*'Parametros Generales'!$C$6</f>
        <v>10037014.142000001</v>
      </c>
      <c r="X218" s="376">
        <f>(+VLOOKUP(C218,'Transporte y Viaticos'!$B$87:$L$120,2,0)*'Parametros Generales'!$C$7*R218)*(2/3)</f>
        <v>1556876.9096810224</v>
      </c>
      <c r="Y218" s="417"/>
      <c r="Z218" s="417"/>
      <c r="AA218" s="417"/>
      <c r="AB218" s="417">
        <f>+M218*'Parametros Generales'!$C$6*'Parametros Generales'!$J$9</f>
        <v>3895272.7272727285</v>
      </c>
      <c r="AC218" s="417">
        <f>+H218*'Parametros Generales'!$J$10*'Parametros Generales'!$C$6*'Parametros Generales'!$C$11</f>
        <v>14738498.767401624</v>
      </c>
      <c r="AD218" s="417"/>
      <c r="AE218" s="417"/>
      <c r="AF218" s="417"/>
      <c r="AG218" s="417"/>
      <c r="AH218" s="417"/>
      <c r="AI218" s="417"/>
      <c r="AJ218" s="417"/>
      <c r="AK218" s="436"/>
      <c r="AL218" s="822"/>
    </row>
    <row r="219" spans="1:38" s="33" customFormat="1" hidden="1" outlineLevel="1">
      <c r="A219" s="1150"/>
      <c r="B219" s="823">
        <v>13</v>
      </c>
      <c r="C219" s="373" t="str">
        <f t="shared" ref="C219:C237" si="19">+C218</f>
        <v>BOLÍVAR</v>
      </c>
      <c r="D219" s="374"/>
      <c r="E219" s="1113"/>
      <c r="F219" s="1104"/>
      <c r="G219" s="375"/>
      <c r="H219" s="1062"/>
      <c r="I219" s="1057"/>
      <c r="J219" s="1058"/>
      <c r="K219" s="1070" t="str">
        <f t="shared" si="17"/>
        <v>Ok</v>
      </c>
      <c r="L219" s="1077">
        <f t="shared" si="18"/>
        <v>0</v>
      </c>
      <c r="M219" s="1091">
        <f>+H219/'Parametros Generales'!$C$8</f>
        <v>0</v>
      </c>
      <c r="N219" s="1098"/>
      <c r="O219" s="1098"/>
      <c r="P219" s="1098"/>
      <c r="Q219" s="1098"/>
      <c r="R219" s="1098">
        <f>+(M219/'Parametros Generales'!$C$9)</f>
        <v>0</v>
      </c>
      <c r="S219" s="395"/>
      <c r="T219" s="395"/>
      <c r="U219" s="395"/>
      <c r="V219" s="396"/>
      <c r="W219" s="376">
        <f>+R219*'Componentes T.H.'!$Q$9*'Parametros Generales'!$C$6</f>
        <v>0</v>
      </c>
      <c r="X219" s="376">
        <f>(+VLOOKUP(C219,'Transporte y Viaticos'!$B$87:$L$120,2,0)*'Parametros Generales'!$C$7*R219)*(2/3)</f>
        <v>0</v>
      </c>
      <c r="Y219" s="417"/>
      <c r="Z219" s="417"/>
      <c r="AA219" s="417"/>
      <c r="AB219" s="417">
        <f>+M219*'Parametros Generales'!$C$6*'Parametros Generales'!$J$9</f>
        <v>0</v>
      </c>
      <c r="AC219" s="417">
        <f>+H219*'Parametros Generales'!$J$10*'Parametros Generales'!$C$6*'Parametros Generales'!$C$11</f>
        <v>0</v>
      </c>
      <c r="AD219" s="417"/>
      <c r="AE219" s="417"/>
      <c r="AF219" s="417"/>
      <c r="AG219" s="417"/>
      <c r="AH219" s="417"/>
      <c r="AI219" s="417"/>
      <c r="AJ219" s="417"/>
      <c r="AK219" s="436"/>
      <c r="AL219" s="822"/>
    </row>
    <row r="220" spans="1:38" s="33" customFormat="1" hidden="1" outlineLevel="1">
      <c r="A220" s="1150"/>
      <c r="B220" s="823">
        <v>13</v>
      </c>
      <c r="C220" s="373" t="str">
        <f t="shared" si="19"/>
        <v>BOLÍVAR</v>
      </c>
      <c r="D220" s="374"/>
      <c r="E220" s="1113"/>
      <c r="F220" s="1104"/>
      <c r="G220" s="375"/>
      <c r="H220" s="1062"/>
      <c r="I220" s="1057"/>
      <c r="J220" s="1058"/>
      <c r="K220" s="1070" t="str">
        <f t="shared" si="17"/>
        <v>Ok</v>
      </c>
      <c r="L220" s="1077">
        <f t="shared" si="18"/>
        <v>0</v>
      </c>
      <c r="M220" s="1091">
        <f>+H220/'Parametros Generales'!$C$8</f>
        <v>0</v>
      </c>
      <c r="N220" s="1098"/>
      <c r="O220" s="1098"/>
      <c r="P220" s="1098"/>
      <c r="Q220" s="1098"/>
      <c r="R220" s="1098">
        <f>+(M220/'Parametros Generales'!$C$9)</f>
        <v>0</v>
      </c>
      <c r="S220" s="395"/>
      <c r="T220" s="395"/>
      <c r="U220" s="395"/>
      <c r="V220" s="396"/>
      <c r="W220" s="376">
        <f>+R220*'Componentes T.H.'!$Q$9*'Parametros Generales'!$C$6</f>
        <v>0</v>
      </c>
      <c r="X220" s="376">
        <f>(+VLOOKUP(C220,'Transporte y Viaticos'!$B$87:$L$120,2,0)*'Parametros Generales'!$C$7*R220)*(2/3)</f>
        <v>0</v>
      </c>
      <c r="Y220" s="417"/>
      <c r="Z220" s="417"/>
      <c r="AA220" s="417"/>
      <c r="AB220" s="417">
        <f>+M220*'Parametros Generales'!$C$6*'Parametros Generales'!$J$9</f>
        <v>0</v>
      </c>
      <c r="AC220" s="417">
        <f>+H220*'Parametros Generales'!$J$10*'Parametros Generales'!$C$6*'Parametros Generales'!$C$11</f>
        <v>0</v>
      </c>
      <c r="AD220" s="417"/>
      <c r="AE220" s="417"/>
      <c r="AF220" s="417"/>
      <c r="AG220" s="417"/>
      <c r="AH220" s="417"/>
      <c r="AI220" s="417"/>
      <c r="AJ220" s="417"/>
      <c r="AK220" s="436"/>
      <c r="AL220" s="822"/>
    </row>
    <row r="221" spans="1:38" s="33" customFormat="1" hidden="1" outlineLevel="1">
      <c r="A221" s="1150"/>
      <c r="B221" s="823">
        <v>13</v>
      </c>
      <c r="C221" s="373" t="str">
        <f t="shared" si="19"/>
        <v>BOLÍVAR</v>
      </c>
      <c r="D221" s="374"/>
      <c r="E221" s="1113"/>
      <c r="F221" s="1104"/>
      <c r="G221" s="375"/>
      <c r="H221" s="1062"/>
      <c r="I221" s="1057"/>
      <c r="J221" s="1058"/>
      <c r="K221" s="1070" t="str">
        <f t="shared" si="17"/>
        <v>Ok</v>
      </c>
      <c r="L221" s="1077">
        <f t="shared" si="18"/>
        <v>0</v>
      </c>
      <c r="M221" s="1091">
        <f>+H221/'Parametros Generales'!$C$8</f>
        <v>0</v>
      </c>
      <c r="N221" s="1098"/>
      <c r="O221" s="1098"/>
      <c r="P221" s="1098"/>
      <c r="Q221" s="1098"/>
      <c r="R221" s="1098">
        <f>+(M221/'Parametros Generales'!$C$9)</f>
        <v>0</v>
      </c>
      <c r="S221" s="395"/>
      <c r="T221" s="395"/>
      <c r="U221" s="395"/>
      <c r="V221" s="396"/>
      <c r="W221" s="376">
        <f>+R221*'Componentes T.H.'!$Q$9*'Parametros Generales'!$C$6</f>
        <v>0</v>
      </c>
      <c r="X221" s="376">
        <f>(+VLOOKUP(C221,'Transporte y Viaticos'!$B$87:$L$120,2,0)*'Parametros Generales'!$C$7*R221)*(2/3)</f>
        <v>0</v>
      </c>
      <c r="Y221" s="417"/>
      <c r="Z221" s="417"/>
      <c r="AA221" s="417"/>
      <c r="AB221" s="417">
        <f>+M221*'Parametros Generales'!$C$6*'Parametros Generales'!$J$9</f>
        <v>0</v>
      </c>
      <c r="AC221" s="417">
        <f>+H221*'Parametros Generales'!$J$10*'Parametros Generales'!$C$6*'Parametros Generales'!$C$11</f>
        <v>0</v>
      </c>
      <c r="AD221" s="417"/>
      <c r="AE221" s="417"/>
      <c r="AF221" s="417"/>
      <c r="AG221" s="417"/>
      <c r="AH221" s="417"/>
      <c r="AI221" s="417"/>
      <c r="AJ221" s="417"/>
      <c r="AK221" s="436"/>
      <c r="AL221" s="822"/>
    </row>
    <row r="222" spans="1:38" s="33" customFormat="1" hidden="1" outlineLevel="1">
      <c r="A222" s="1150"/>
      <c r="B222" s="823">
        <v>13</v>
      </c>
      <c r="C222" s="373" t="str">
        <f t="shared" si="19"/>
        <v>BOLÍVAR</v>
      </c>
      <c r="D222" s="374"/>
      <c r="E222" s="1113"/>
      <c r="F222" s="1104"/>
      <c r="G222" s="375"/>
      <c r="H222" s="1062"/>
      <c r="I222" s="1057"/>
      <c r="J222" s="1058"/>
      <c r="K222" s="1070" t="str">
        <f t="shared" si="17"/>
        <v>Ok</v>
      </c>
      <c r="L222" s="1077">
        <f t="shared" si="18"/>
        <v>0</v>
      </c>
      <c r="M222" s="1091">
        <f>+H222/'Parametros Generales'!$C$8</f>
        <v>0</v>
      </c>
      <c r="N222" s="1098"/>
      <c r="O222" s="1098"/>
      <c r="P222" s="1098"/>
      <c r="Q222" s="1098"/>
      <c r="R222" s="1098">
        <f>+(M222/'Parametros Generales'!$C$9)</f>
        <v>0</v>
      </c>
      <c r="S222" s="395"/>
      <c r="T222" s="395"/>
      <c r="U222" s="395"/>
      <c r="V222" s="396"/>
      <c r="W222" s="376">
        <f>+R222*'Componentes T.H.'!$Q$9*'Parametros Generales'!$C$6</f>
        <v>0</v>
      </c>
      <c r="X222" s="376">
        <f>(+VLOOKUP(C222,'Transporte y Viaticos'!$B$87:$L$120,2,0)*'Parametros Generales'!$C$7*R222)*(2/3)</f>
        <v>0</v>
      </c>
      <c r="Y222" s="417"/>
      <c r="Z222" s="417"/>
      <c r="AA222" s="417"/>
      <c r="AB222" s="417">
        <f>+M222*'Parametros Generales'!$C$6*'Parametros Generales'!$J$9</f>
        <v>0</v>
      </c>
      <c r="AC222" s="417">
        <f>+H222*'Parametros Generales'!$J$10*'Parametros Generales'!$C$6*'Parametros Generales'!$C$11</f>
        <v>0</v>
      </c>
      <c r="AD222" s="417"/>
      <c r="AE222" s="417"/>
      <c r="AF222" s="417"/>
      <c r="AG222" s="417"/>
      <c r="AH222" s="417"/>
      <c r="AI222" s="417"/>
      <c r="AJ222" s="417"/>
      <c r="AK222" s="436"/>
      <c r="AL222" s="822"/>
    </row>
    <row r="223" spans="1:38" s="33" customFormat="1" hidden="1" outlineLevel="1">
      <c r="A223" s="1150"/>
      <c r="B223" s="823">
        <v>13</v>
      </c>
      <c r="C223" s="373" t="str">
        <f t="shared" si="19"/>
        <v>BOLÍVAR</v>
      </c>
      <c r="D223" s="374"/>
      <c r="E223" s="1113"/>
      <c r="F223" s="1104"/>
      <c r="G223" s="375"/>
      <c r="H223" s="1062"/>
      <c r="I223" s="1057"/>
      <c r="J223" s="1058"/>
      <c r="K223" s="1070" t="str">
        <f t="shared" si="17"/>
        <v>Ok</v>
      </c>
      <c r="L223" s="1077">
        <f t="shared" si="18"/>
        <v>0</v>
      </c>
      <c r="M223" s="1091">
        <f>+H223/'Parametros Generales'!$C$8</f>
        <v>0</v>
      </c>
      <c r="N223" s="1098"/>
      <c r="O223" s="1098"/>
      <c r="P223" s="1098"/>
      <c r="Q223" s="1098"/>
      <c r="R223" s="1098">
        <f>+(M223/'Parametros Generales'!$C$9)</f>
        <v>0</v>
      </c>
      <c r="S223" s="395"/>
      <c r="T223" s="395"/>
      <c r="U223" s="395"/>
      <c r="V223" s="396"/>
      <c r="W223" s="376">
        <f>+R223*'Componentes T.H.'!$Q$9*'Parametros Generales'!$C$6</f>
        <v>0</v>
      </c>
      <c r="X223" s="376">
        <f>(+VLOOKUP(C223,'Transporte y Viaticos'!$B$87:$L$120,2,0)*'Parametros Generales'!$C$7*R223)*(2/3)</f>
        <v>0</v>
      </c>
      <c r="Y223" s="417"/>
      <c r="Z223" s="417"/>
      <c r="AA223" s="417"/>
      <c r="AB223" s="417">
        <f>+M223*'Parametros Generales'!$C$6*'Parametros Generales'!$J$9</f>
        <v>0</v>
      </c>
      <c r="AC223" s="417">
        <f>+H223*'Parametros Generales'!$J$10*'Parametros Generales'!$C$6*'Parametros Generales'!$C$11</f>
        <v>0</v>
      </c>
      <c r="AD223" s="417"/>
      <c r="AE223" s="417"/>
      <c r="AF223" s="417"/>
      <c r="AG223" s="417"/>
      <c r="AH223" s="417"/>
      <c r="AI223" s="417"/>
      <c r="AJ223" s="417"/>
      <c r="AK223" s="436"/>
      <c r="AL223" s="822"/>
    </row>
    <row r="224" spans="1:38" s="33" customFormat="1" hidden="1" outlineLevel="1">
      <c r="A224" s="1150"/>
      <c r="B224" s="823">
        <v>13</v>
      </c>
      <c r="C224" s="373" t="str">
        <f t="shared" si="19"/>
        <v>BOLÍVAR</v>
      </c>
      <c r="D224" s="374"/>
      <c r="E224" s="1113"/>
      <c r="F224" s="1104"/>
      <c r="G224" s="375"/>
      <c r="H224" s="1062"/>
      <c r="I224" s="1057"/>
      <c r="J224" s="1058"/>
      <c r="K224" s="1070" t="str">
        <f t="shared" si="17"/>
        <v>Ok</v>
      </c>
      <c r="L224" s="1077">
        <f t="shared" si="18"/>
        <v>0</v>
      </c>
      <c r="M224" s="1091">
        <f>+H224/'Parametros Generales'!$C$8</f>
        <v>0</v>
      </c>
      <c r="N224" s="1098"/>
      <c r="O224" s="1098"/>
      <c r="P224" s="1098"/>
      <c r="Q224" s="1098"/>
      <c r="R224" s="1098">
        <f>+(M224/'Parametros Generales'!$C$9)</f>
        <v>0</v>
      </c>
      <c r="S224" s="395"/>
      <c r="T224" s="395"/>
      <c r="U224" s="395"/>
      <c r="V224" s="396"/>
      <c r="W224" s="376">
        <f>+R224*'Componentes T.H.'!$Q$9*'Parametros Generales'!$C$6</f>
        <v>0</v>
      </c>
      <c r="X224" s="376">
        <f>(+VLOOKUP(C224,'Transporte y Viaticos'!$B$87:$L$120,2,0)*'Parametros Generales'!$C$7*R224)*(2/3)</f>
        <v>0</v>
      </c>
      <c r="Y224" s="417"/>
      <c r="Z224" s="417"/>
      <c r="AA224" s="417"/>
      <c r="AB224" s="417">
        <f>+M224*'Parametros Generales'!$C$6*'Parametros Generales'!$J$9</f>
        <v>0</v>
      </c>
      <c r="AC224" s="417">
        <f>+H224*'Parametros Generales'!$J$10*'Parametros Generales'!$C$6*'Parametros Generales'!$C$11</f>
        <v>0</v>
      </c>
      <c r="AD224" s="417"/>
      <c r="AE224" s="417"/>
      <c r="AF224" s="417"/>
      <c r="AG224" s="417"/>
      <c r="AH224" s="417"/>
      <c r="AI224" s="417"/>
      <c r="AJ224" s="417"/>
      <c r="AK224" s="436"/>
      <c r="AL224" s="822"/>
    </row>
    <row r="225" spans="1:38" s="33" customFormat="1" hidden="1" outlineLevel="1">
      <c r="A225" s="1150"/>
      <c r="B225" s="823">
        <v>13</v>
      </c>
      <c r="C225" s="373" t="str">
        <f t="shared" si="19"/>
        <v>BOLÍVAR</v>
      </c>
      <c r="D225" s="374"/>
      <c r="E225" s="1113"/>
      <c r="F225" s="1104"/>
      <c r="G225" s="375"/>
      <c r="H225" s="1062"/>
      <c r="I225" s="1057"/>
      <c r="J225" s="1058"/>
      <c r="K225" s="1070" t="str">
        <f t="shared" si="17"/>
        <v>Ok</v>
      </c>
      <c r="L225" s="1077">
        <f t="shared" si="18"/>
        <v>0</v>
      </c>
      <c r="M225" s="1091">
        <f>+H225/'Parametros Generales'!$C$8</f>
        <v>0</v>
      </c>
      <c r="N225" s="1098"/>
      <c r="O225" s="1098"/>
      <c r="P225" s="1098"/>
      <c r="Q225" s="1098"/>
      <c r="R225" s="1098">
        <f>+(M225/'Parametros Generales'!$C$9)</f>
        <v>0</v>
      </c>
      <c r="S225" s="395"/>
      <c r="T225" s="395"/>
      <c r="U225" s="395"/>
      <c r="V225" s="396"/>
      <c r="W225" s="376">
        <f>+R225*'Componentes T.H.'!$Q$9*'Parametros Generales'!$C$6</f>
        <v>0</v>
      </c>
      <c r="X225" s="376">
        <f>(+VLOOKUP(C225,'Transporte y Viaticos'!$B$87:$L$120,2,0)*'Parametros Generales'!$C$7*R225)*(2/3)</f>
        <v>0</v>
      </c>
      <c r="Y225" s="417"/>
      <c r="Z225" s="417"/>
      <c r="AA225" s="417"/>
      <c r="AB225" s="417">
        <f>+M225*'Parametros Generales'!$C$6*'Parametros Generales'!$J$9</f>
        <v>0</v>
      </c>
      <c r="AC225" s="417">
        <f>+H225*'Parametros Generales'!$J$10*'Parametros Generales'!$C$6*'Parametros Generales'!$C$11</f>
        <v>0</v>
      </c>
      <c r="AD225" s="417"/>
      <c r="AE225" s="417"/>
      <c r="AF225" s="417"/>
      <c r="AG225" s="417"/>
      <c r="AH225" s="417"/>
      <c r="AI225" s="417"/>
      <c r="AJ225" s="417"/>
      <c r="AK225" s="436"/>
      <c r="AL225" s="822"/>
    </row>
    <row r="226" spans="1:38" s="33" customFormat="1" hidden="1" outlineLevel="1">
      <c r="A226" s="1150"/>
      <c r="B226" s="823">
        <v>13</v>
      </c>
      <c r="C226" s="373" t="str">
        <f t="shared" si="19"/>
        <v>BOLÍVAR</v>
      </c>
      <c r="D226" s="374"/>
      <c r="E226" s="1113"/>
      <c r="F226" s="1104"/>
      <c r="G226" s="375"/>
      <c r="H226" s="1062"/>
      <c r="I226" s="1057"/>
      <c r="J226" s="1058"/>
      <c r="K226" s="1070" t="str">
        <f t="shared" si="17"/>
        <v>Ok</v>
      </c>
      <c r="L226" s="1077">
        <f t="shared" si="18"/>
        <v>0</v>
      </c>
      <c r="M226" s="1091">
        <f>+H226/'Parametros Generales'!$C$8</f>
        <v>0</v>
      </c>
      <c r="N226" s="1098"/>
      <c r="O226" s="1098"/>
      <c r="P226" s="1098"/>
      <c r="Q226" s="1098"/>
      <c r="R226" s="1098">
        <f>+(M226/'Parametros Generales'!$C$9)</f>
        <v>0</v>
      </c>
      <c r="S226" s="395"/>
      <c r="T226" s="395"/>
      <c r="U226" s="395"/>
      <c r="V226" s="396"/>
      <c r="W226" s="376">
        <f>+R226*'Componentes T.H.'!$Q$9*'Parametros Generales'!$C$6</f>
        <v>0</v>
      </c>
      <c r="X226" s="376">
        <f>(+VLOOKUP(C226,'Transporte y Viaticos'!$B$87:$L$120,2,0)*'Parametros Generales'!$C$7*R226)*(2/3)</f>
        <v>0</v>
      </c>
      <c r="Y226" s="417"/>
      <c r="Z226" s="417"/>
      <c r="AA226" s="417"/>
      <c r="AB226" s="417">
        <f>+M226*'Parametros Generales'!$C$6*'Parametros Generales'!$J$9</f>
        <v>0</v>
      </c>
      <c r="AC226" s="417">
        <f>+H226*'Parametros Generales'!$J$10*'Parametros Generales'!$C$6*'Parametros Generales'!$C$11</f>
        <v>0</v>
      </c>
      <c r="AD226" s="417"/>
      <c r="AE226" s="417"/>
      <c r="AF226" s="417"/>
      <c r="AG226" s="417"/>
      <c r="AH226" s="417"/>
      <c r="AI226" s="417"/>
      <c r="AJ226" s="417"/>
      <c r="AK226" s="436"/>
      <c r="AL226" s="822"/>
    </row>
    <row r="227" spans="1:38" s="33" customFormat="1" hidden="1" outlineLevel="1">
      <c r="A227" s="1150"/>
      <c r="B227" s="823">
        <v>13</v>
      </c>
      <c r="C227" s="373" t="str">
        <f t="shared" si="19"/>
        <v>BOLÍVAR</v>
      </c>
      <c r="D227" s="374"/>
      <c r="E227" s="1113"/>
      <c r="F227" s="1104"/>
      <c r="G227" s="375"/>
      <c r="H227" s="1062"/>
      <c r="I227" s="1057"/>
      <c r="J227" s="1058"/>
      <c r="K227" s="1070" t="str">
        <f t="shared" si="17"/>
        <v>Ok</v>
      </c>
      <c r="L227" s="1077">
        <f t="shared" si="18"/>
        <v>0</v>
      </c>
      <c r="M227" s="1091">
        <f>+H227/'Parametros Generales'!$C$8</f>
        <v>0</v>
      </c>
      <c r="N227" s="1098"/>
      <c r="O227" s="1098"/>
      <c r="P227" s="1098"/>
      <c r="Q227" s="1098"/>
      <c r="R227" s="1098">
        <f>+(M227/'Parametros Generales'!$C$9)</f>
        <v>0</v>
      </c>
      <c r="S227" s="395"/>
      <c r="T227" s="395"/>
      <c r="U227" s="395"/>
      <c r="V227" s="396"/>
      <c r="W227" s="376">
        <f>+R227*'Componentes T.H.'!$Q$9*'Parametros Generales'!$C$6</f>
        <v>0</v>
      </c>
      <c r="X227" s="376">
        <f>(+VLOOKUP(C227,'Transporte y Viaticos'!$B$87:$L$120,2,0)*'Parametros Generales'!$C$7*R227)*(2/3)</f>
        <v>0</v>
      </c>
      <c r="Y227" s="417"/>
      <c r="Z227" s="417"/>
      <c r="AA227" s="417"/>
      <c r="AB227" s="417">
        <f>+M227*'Parametros Generales'!$C$6*'Parametros Generales'!$J$9</f>
        <v>0</v>
      </c>
      <c r="AC227" s="417">
        <f>+H227*'Parametros Generales'!$J$10*'Parametros Generales'!$C$6*'Parametros Generales'!$C$11</f>
        <v>0</v>
      </c>
      <c r="AD227" s="417"/>
      <c r="AE227" s="417"/>
      <c r="AF227" s="417"/>
      <c r="AG227" s="417"/>
      <c r="AH227" s="417"/>
      <c r="AI227" s="417"/>
      <c r="AJ227" s="417"/>
      <c r="AK227" s="436"/>
      <c r="AL227" s="822"/>
    </row>
    <row r="228" spans="1:38" s="33" customFormat="1" hidden="1" outlineLevel="1">
      <c r="A228" s="1150"/>
      <c r="B228" s="823">
        <v>13</v>
      </c>
      <c r="C228" s="373" t="str">
        <f t="shared" si="19"/>
        <v>BOLÍVAR</v>
      </c>
      <c r="D228" s="374"/>
      <c r="E228" s="1113"/>
      <c r="F228" s="1104"/>
      <c r="G228" s="375"/>
      <c r="H228" s="1062"/>
      <c r="I228" s="1057"/>
      <c r="J228" s="1058"/>
      <c r="K228" s="1070" t="str">
        <f t="shared" si="17"/>
        <v>Ok</v>
      </c>
      <c r="L228" s="1077">
        <f t="shared" si="18"/>
        <v>0</v>
      </c>
      <c r="M228" s="1091">
        <f>+H228/'Parametros Generales'!$C$8</f>
        <v>0</v>
      </c>
      <c r="N228" s="1098"/>
      <c r="O228" s="1098"/>
      <c r="P228" s="1098"/>
      <c r="Q228" s="1098"/>
      <c r="R228" s="1098">
        <f>+(M228/'Parametros Generales'!$C$9)</f>
        <v>0</v>
      </c>
      <c r="S228" s="395"/>
      <c r="T228" s="395"/>
      <c r="U228" s="395"/>
      <c r="V228" s="396"/>
      <c r="W228" s="376">
        <f>+R228*'Componentes T.H.'!$Q$9*'Parametros Generales'!$C$6</f>
        <v>0</v>
      </c>
      <c r="X228" s="376">
        <f>(+VLOOKUP(C228,'Transporte y Viaticos'!$B$87:$L$120,2,0)*'Parametros Generales'!$C$7*R228)*(2/3)</f>
        <v>0</v>
      </c>
      <c r="Y228" s="417"/>
      <c r="Z228" s="417"/>
      <c r="AA228" s="417"/>
      <c r="AB228" s="417">
        <f>+M228*'Parametros Generales'!$C$6*'Parametros Generales'!$J$9</f>
        <v>0</v>
      </c>
      <c r="AC228" s="417">
        <f>+H228*'Parametros Generales'!$J$10*'Parametros Generales'!$C$6*'Parametros Generales'!$C$11</f>
        <v>0</v>
      </c>
      <c r="AD228" s="417"/>
      <c r="AE228" s="417"/>
      <c r="AF228" s="417"/>
      <c r="AG228" s="417"/>
      <c r="AH228" s="417"/>
      <c r="AI228" s="417"/>
      <c r="AJ228" s="417"/>
      <c r="AK228" s="436"/>
      <c r="AL228" s="822"/>
    </row>
    <row r="229" spans="1:38" s="33" customFormat="1" hidden="1" outlineLevel="1">
      <c r="A229" s="1150"/>
      <c r="B229" s="823">
        <v>13</v>
      </c>
      <c r="C229" s="373" t="str">
        <f t="shared" si="19"/>
        <v>BOLÍVAR</v>
      </c>
      <c r="D229" s="374"/>
      <c r="E229" s="1113"/>
      <c r="F229" s="1104"/>
      <c r="G229" s="375"/>
      <c r="H229" s="1062"/>
      <c r="I229" s="1057"/>
      <c r="J229" s="1058"/>
      <c r="K229" s="1070" t="str">
        <f t="shared" si="17"/>
        <v>Ok</v>
      </c>
      <c r="L229" s="1077">
        <f t="shared" si="18"/>
        <v>0</v>
      </c>
      <c r="M229" s="1091">
        <f>+H229/'Parametros Generales'!$C$8</f>
        <v>0</v>
      </c>
      <c r="N229" s="1098"/>
      <c r="O229" s="1098"/>
      <c r="P229" s="1098"/>
      <c r="Q229" s="1098"/>
      <c r="R229" s="1098">
        <f>+(M229/'Parametros Generales'!$C$9)</f>
        <v>0</v>
      </c>
      <c r="S229" s="395"/>
      <c r="T229" s="395"/>
      <c r="U229" s="395"/>
      <c r="V229" s="396"/>
      <c r="W229" s="376">
        <f>+R229*'Componentes T.H.'!$Q$9*'Parametros Generales'!$C$6</f>
        <v>0</v>
      </c>
      <c r="X229" s="376">
        <f>(+VLOOKUP(C229,'Transporte y Viaticos'!$B$87:$L$120,2,0)*'Parametros Generales'!$C$7*R229)*(2/3)</f>
        <v>0</v>
      </c>
      <c r="Y229" s="417"/>
      <c r="Z229" s="417"/>
      <c r="AA229" s="417"/>
      <c r="AB229" s="417">
        <f>+M229*'Parametros Generales'!$C$6*'Parametros Generales'!$J$9</f>
        <v>0</v>
      </c>
      <c r="AC229" s="417">
        <f>+H229*'Parametros Generales'!$J$10*'Parametros Generales'!$C$6*'Parametros Generales'!$C$11</f>
        <v>0</v>
      </c>
      <c r="AD229" s="417"/>
      <c r="AE229" s="417"/>
      <c r="AF229" s="417"/>
      <c r="AG229" s="417"/>
      <c r="AH229" s="417"/>
      <c r="AI229" s="417"/>
      <c r="AJ229" s="417"/>
      <c r="AK229" s="436"/>
      <c r="AL229" s="822"/>
    </row>
    <row r="230" spans="1:38" s="33" customFormat="1" hidden="1" outlineLevel="1">
      <c r="A230" s="1150"/>
      <c r="B230" s="823">
        <v>13</v>
      </c>
      <c r="C230" s="373" t="str">
        <f t="shared" si="19"/>
        <v>BOLÍVAR</v>
      </c>
      <c r="D230" s="374"/>
      <c r="E230" s="1113"/>
      <c r="F230" s="1104"/>
      <c r="G230" s="375"/>
      <c r="H230" s="1062"/>
      <c r="I230" s="1057"/>
      <c r="J230" s="1058"/>
      <c r="K230" s="1070" t="str">
        <f t="shared" si="17"/>
        <v>Ok</v>
      </c>
      <c r="L230" s="1077">
        <f t="shared" si="18"/>
        <v>0</v>
      </c>
      <c r="M230" s="1091">
        <f>+H230/'Parametros Generales'!$C$8</f>
        <v>0</v>
      </c>
      <c r="N230" s="1098"/>
      <c r="O230" s="1098"/>
      <c r="P230" s="1098"/>
      <c r="Q230" s="1098"/>
      <c r="R230" s="1098">
        <f>+(M230/'Parametros Generales'!$C$9)</f>
        <v>0</v>
      </c>
      <c r="S230" s="395"/>
      <c r="T230" s="395"/>
      <c r="U230" s="395"/>
      <c r="V230" s="396"/>
      <c r="W230" s="376">
        <f>+R230*'Componentes T.H.'!$Q$9*'Parametros Generales'!$C$6</f>
        <v>0</v>
      </c>
      <c r="X230" s="376">
        <f>(+VLOOKUP(C230,'Transporte y Viaticos'!$B$87:$L$120,2,0)*'Parametros Generales'!$C$7*R230)*(2/3)</f>
        <v>0</v>
      </c>
      <c r="Y230" s="417"/>
      <c r="Z230" s="417"/>
      <c r="AA230" s="417"/>
      <c r="AB230" s="417">
        <f>+M230*'Parametros Generales'!$C$6*'Parametros Generales'!$J$9</f>
        <v>0</v>
      </c>
      <c r="AC230" s="417">
        <f>+H230*'Parametros Generales'!$J$10*'Parametros Generales'!$C$6*'Parametros Generales'!$C$11</f>
        <v>0</v>
      </c>
      <c r="AD230" s="417"/>
      <c r="AE230" s="417"/>
      <c r="AF230" s="417"/>
      <c r="AG230" s="417"/>
      <c r="AH230" s="417"/>
      <c r="AI230" s="417"/>
      <c r="AJ230" s="417"/>
      <c r="AK230" s="436"/>
      <c r="AL230" s="822"/>
    </row>
    <row r="231" spans="1:38" s="33" customFormat="1" hidden="1" outlineLevel="1">
      <c r="A231" s="1150"/>
      <c r="B231" s="823">
        <v>13</v>
      </c>
      <c r="C231" s="373" t="str">
        <f t="shared" si="19"/>
        <v>BOLÍVAR</v>
      </c>
      <c r="D231" s="374"/>
      <c r="E231" s="1113"/>
      <c r="F231" s="1104"/>
      <c r="G231" s="375"/>
      <c r="H231" s="1062"/>
      <c r="I231" s="1057"/>
      <c r="J231" s="1058"/>
      <c r="K231" s="1070" t="str">
        <f t="shared" si="17"/>
        <v>Ok</v>
      </c>
      <c r="L231" s="1077">
        <f t="shared" si="18"/>
        <v>0</v>
      </c>
      <c r="M231" s="1091">
        <f>+H231/'Parametros Generales'!$C$8</f>
        <v>0</v>
      </c>
      <c r="N231" s="1098"/>
      <c r="O231" s="1098"/>
      <c r="P231" s="1098"/>
      <c r="Q231" s="1098"/>
      <c r="R231" s="1098">
        <f>+(M231/'Parametros Generales'!$C$9)</f>
        <v>0</v>
      </c>
      <c r="S231" s="395"/>
      <c r="T231" s="395"/>
      <c r="U231" s="395"/>
      <c r="V231" s="396"/>
      <c r="W231" s="376">
        <f>+R231*'Componentes T.H.'!$Q$9*'Parametros Generales'!$C$6</f>
        <v>0</v>
      </c>
      <c r="X231" s="376">
        <f>(+VLOOKUP(C231,'Transporte y Viaticos'!$B$87:$L$120,2,0)*'Parametros Generales'!$C$7*R231)*(2/3)</f>
        <v>0</v>
      </c>
      <c r="Y231" s="417"/>
      <c r="Z231" s="417"/>
      <c r="AA231" s="417"/>
      <c r="AB231" s="417">
        <f>+M231*'Parametros Generales'!$C$6*'Parametros Generales'!$J$9</f>
        <v>0</v>
      </c>
      <c r="AC231" s="417">
        <f>+H231*'Parametros Generales'!$J$10*'Parametros Generales'!$C$6*'Parametros Generales'!$C$11</f>
        <v>0</v>
      </c>
      <c r="AD231" s="417"/>
      <c r="AE231" s="417"/>
      <c r="AF231" s="417"/>
      <c r="AG231" s="417"/>
      <c r="AH231" s="417"/>
      <c r="AI231" s="417"/>
      <c r="AJ231" s="417"/>
      <c r="AK231" s="436"/>
      <c r="AL231" s="822"/>
    </row>
    <row r="232" spans="1:38" s="33" customFormat="1" hidden="1" outlineLevel="1">
      <c r="A232" s="1150"/>
      <c r="B232" s="823">
        <v>13</v>
      </c>
      <c r="C232" s="373" t="str">
        <f t="shared" si="19"/>
        <v>BOLÍVAR</v>
      </c>
      <c r="D232" s="374"/>
      <c r="E232" s="1113"/>
      <c r="F232" s="1104"/>
      <c r="G232" s="375"/>
      <c r="H232" s="1062"/>
      <c r="I232" s="1057"/>
      <c r="J232" s="1058"/>
      <c r="K232" s="1070" t="str">
        <f t="shared" si="17"/>
        <v>Ok</v>
      </c>
      <c r="L232" s="1077">
        <f t="shared" si="18"/>
        <v>0</v>
      </c>
      <c r="M232" s="1091">
        <f>+H232/'Parametros Generales'!$C$8</f>
        <v>0</v>
      </c>
      <c r="N232" s="1098"/>
      <c r="O232" s="1098"/>
      <c r="P232" s="1098"/>
      <c r="Q232" s="1098"/>
      <c r="R232" s="1098">
        <f>+(M232/'Parametros Generales'!$C$9)</f>
        <v>0</v>
      </c>
      <c r="S232" s="395"/>
      <c r="T232" s="395"/>
      <c r="U232" s="395"/>
      <c r="V232" s="396"/>
      <c r="W232" s="376">
        <f>+R232*'Componentes T.H.'!$Q$9*'Parametros Generales'!$C$6</f>
        <v>0</v>
      </c>
      <c r="X232" s="376">
        <f>(+VLOOKUP(C232,'Transporte y Viaticos'!$B$87:$L$120,2,0)*'Parametros Generales'!$C$7*R232)*(2/3)</f>
        <v>0</v>
      </c>
      <c r="Y232" s="417"/>
      <c r="Z232" s="417"/>
      <c r="AA232" s="417"/>
      <c r="AB232" s="417">
        <f>+M232*'Parametros Generales'!$C$6*'Parametros Generales'!$J$9</f>
        <v>0</v>
      </c>
      <c r="AC232" s="417">
        <f>+H232*'Parametros Generales'!$J$10*'Parametros Generales'!$C$6*'Parametros Generales'!$C$11</f>
        <v>0</v>
      </c>
      <c r="AD232" s="417"/>
      <c r="AE232" s="417"/>
      <c r="AF232" s="417"/>
      <c r="AG232" s="417"/>
      <c r="AH232" s="417"/>
      <c r="AI232" s="417"/>
      <c r="AJ232" s="417"/>
      <c r="AK232" s="436"/>
      <c r="AL232" s="822"/>
    </row>
    <row r="233" spans="1:38" s="33" customFormat="1" hidden="1" outlineLevel="1">
      <c r="A233" s="1150"/>
      <c r="B233" s="823">
        <v>13</v>
      </c>
      <c r="C233" s="373" t="str">
        <f t="shared" si="19"/>
        <v>BOLÍVAR</v>
      </c>
      <c r="D233" s="374"/>
      <c r="E233" s="1113"/>
      <c r="F233" s="1104"/>
      <c r="G233" s="375"/>
      <c r="H233" s="1062"/>
      <c r="I233" s="1057"/>
      <c r="J233" s="1058"/>
      <c r="K233" s="1070" t="str">
        <f t="shared" si="17"/>
        <v>Ok</v>
      </c>
      <c r="L233" s="1077">
        <f t="shared" si="18"/>
        <v>0</v>
      </c>
      <c r="M233" s="1091">
        <f>+H233/'Parametros Generales'!$C$8</f>
        <v>0</v>
      </c>
      <c r="N233" s="1098"/>
      <c r="O233" s="1098"/>
      <c r="P233" s="1098"/>
      <c r="Q233" s="1098"/>
      <c r="R233" s="1098">
        <f>+(M233/'Parametros Generales'!$C$9)</f>
        <v>0</v>
      </c>
      <c r="S233" s="395"/>
      <c r="T233" s="395"/>
      <c r="U233" s="395"/>
      <c r="V233" s="396"/>
      <c r="W233" s="376">
        <f>+R233*'Componentes T.H.'!$Q$9*'Parametros Generales'!$C$6</f>
        <v>0</v>
      </c>
      <c r="X233" s="376">
        <f>(+VLOOKUP(C233,'Transporte y Viaticos'!$B$87:$L$120,2,0)*'Parametros Generales'!$C$7*R233)*(2/3)</f>
        <v>0</v>
      </c>
      <c r="Y233" s="417"/>
      <c r="Z233" s="417"/>
      <c r="AA233" s="417"/>
      <c r="AB233" s="417">
        <f>+M233*'Parametros Generales'!$C$6*'Parametros Generales'!$J$9</f>
        <v>0</v>
      </c>
      <c r="AC233" s="417">
        <f>+H233*'Parametros Generales'!$J$10*'Parametros Generales'!$C$6*'Parametros Generales'!$C$11</f>
        <v>0</v>
      </c>
      <c r="AD233" s="417"/>
      <c r="AE233" s="417"/>
      <c r="AF233" s="417"/>
      <c r="AG233" s="417"/>
      <c r="AH233" s="417"/>
      <c r="AI233" s="417"/>
      <c r="AJ233" s="417"/>
      <c r="AK233" s="436"/>
      <c r="AL233" s="822"/>
    </row>
    <row r="234" spans="1:38" s="33" customFormat="1" hidden="1" outlineLevel="1">
      <c r="A234" s="1150"/>
      <c r="B234" s="823">
        <v>13</v>
      </c>
      <c r="C234" s="373" t="str">
        <f t="shared" si="19"/>
        <v>BOLÍVAR</v>
      </c>
      <c r="D234" s="374"/>
      <c r="E234" s="1113"/>
      <c r="F234" s="1104"/>
      <c r="G234" s="375"/>
      <c r="H234" s="1062"/>
      <c r="I234" s="1057"/>
      <c r="J234" s="1058"/>
      <c r="K234" s="1070" t="str">
        <f t="shared" si="17"/>
        <v>Ok</v>
      </c>
      <c r="L234" s="1077">
        <f t="shared" si="18"/>
        <v>0</v>
      </c>
      <c r="M234" s="1091">
        <f>+H234/'Parametros Generales'!$C$8</f>
        <v>0</v>
      </c>
      <c r="N234" s="1098"/>
      <c r="O234" s="1098"/>
      <c r="P234" s="1098"/>
      <c r="Q234" s="1098"/>
      <c r="R234" s="1098">
        <f>+(M234/'Parametros Generales'!$C$9)</f>
        <v>0</v>
      </c>
      <c r="S234" s="395"/>
      <c r="T234" s="395"/>
      <c r="U234" s="395"/>
      <c r="V234" s="396"/>
      <c r="W234" s="376">
        <f>+R234*'Componentes T.H.'!$Q$9*'Parametros Generales'!$C$6</f>
        <v>0</v>
      </c>
      <c r="X234" s="376">
        <f>(+VLOOKUP(C234,'Transporte y Viaticos'!$B$87:$L$120,2,0)*'Parametros Generales'!$C$7*R234)*(2/3)</f>
        <v>0</v>
      </c>
      <c r="Y234" s="417"/>
      <c r="Z234" s="417"/>
      <c r="AA234" s="417"/>
      <c r="AB234" s="417">
        <f>+M234*'Parametros Generales'!$C$6*'Parametros Generales'!$J$9</f>
        <v>0</v>
      </c>
      <c r="AC234" s="417">
        <f>+H234*'Parametros Generales'!$J$10*'Parametros Generales'!$C$6*'Parametros Generales'!$C$11</f>
        <v>0</v>
      </c>
      <c r="AD234" s="417"/>
      <c r="AE234" s="417"/>
      <c r="AF234" s="417"/>
      <c r="AG234" s="417"/>
      <c r="AH234" s="417"/>
      <c r="AI234" s="417"/>
      <c r="AJ234" s="417"/>
      <c r="AK234" s="436"/>
      <c r="AL234" s="822"/>
    </row>
    <row r="235" spans="1:38" s="33" customFormat="1" hidden="1" outlineLevel="1">
      <c r="A235" s="1150"/>
      <c r="B235" s="823">
        <v>13</v>
      </c>
      <c r="C235" s="373" t="str">
        <f t="shared" si="19"/>
        <v>BOLÍVAR</v>
      </c>
      <c r="D235" s="374"/>
      <c r="E235" s="1113"/>
      <c r="F235" s="1104"/>
      <c r="G235" s="375"/>
      <c r="H235" s="1062"/>
      <c r="I235" s="1057"/>
      <c r="J235" s="1058"/>
      <c r="K235" s="1070" t="str">
        <f t="shared" si="17"/>
        <v>Ok</v>
      </c>
      <c r="L235" s="1077">
        <f t="shared" si="18"/>
        <v>0</v>
      </c>
      <c r="M235" s="1091">
        <f>+H235/'Parametros Generales'!$C$8</f>
        <v>0</v>
      </c>
      <c r="N235" s="1098"/>
      <c r="O235" s="1098"/>
      <c r="P235" s="1098"/>
      <c r="Q235" s="1098"/>
      <c r="R235" s="1098">
        <f>+(M235/'Parametros Generales'!$C$9)</f>
        <v>0</v>
      </c>
      <c r="S235" s="395"/>
      <c r="T235" s="395"/>
      <c r="U235" s="395"/>
      <c r="V235" s="396"/>
      <c r="W235" s="376">
        <f>+R235*'Componentes T.H.'!$Q$9*'Parametros Generales'!$C$6</f>
        <v>0</v>
      </c>
      <c r="X235" s="376">
        <f>(+VLOOKUP(C235,'Transporte y Viaticos'!$B$87:$L$120,2,0)*'Parametros Generales'!$C$7*R235)*(2/3)</f>
        <v>0</v>
      </c>
      <c r="Y235" s="417"/>
      <c r="Z235" s="417"/>
      <c r="AA235" s="417"/>
      <c r="AB235" s="417">
        <f>+M235*'Parametros Generales'!$C$6*'Parametros Generales'!$J$9</f>
        <v>0</v>
      </c>
      <c r="AC235" s="417">
        <f>+H235*'Parametros Generales'!$J$10*'Parametros Generales'!$C$6*'Parametros Generales'!$C$11</f>
        <v>0</v>
      </c>
      <c r="AD235" s="417"/>
      <c r="AE235" s="417"/>
      <c r="AF235" s="417"/>
      <c r="AG235" s="417"/>
      <c r="AH235" s="417"/>
      <c r="AI235" s="417"/>
      <c r="AJ235" s="417"/>
      <c r="AK235" s="436"/>
      <c r="AL235" s="822"/>
    </row>
    <row r="236" spans="1:38" s="33" customFormat="1" hidden="1" outlineLevel="1">
      <c r="A236" s="1150"/>
      <c r="B236" s="823">
        <v>13</v>
      </c>
      <c r="C236" s="373" t="str">
        <f t="shared" si="19"/>
        <v>BOLÍVAR</v>
      </c>
      <c r="D236" s="374"/>
      <c r="E236" s="1113"/>
      <c r="F236" s="1104"/>
      <c r="G236" s="375"/>
      <c r="H236" s="1062"/>
      <c r="I236" s="1057"/>
      <c r="J236" s="1058"/>
      <c r="K236" s="1070" t="str">
        <f t="shared" si="17"/>
        <v>Ok</v>
      </c>
      <c r="L236" s="1077">
        <f t="shared" si="18"/>
        <v>0</v>
      </c>
      <c r="M236" s="1091">
        <f>+H236/'Parametros Generales'!$C$8</f>
        <v>0</v>
      </c>
      <c r="N236" s="1098"/>
      <c r="O236" s="1098"/>
      <c r="P236" s="1098"/>
      <c r="Q236" s="1098"/>
      <c r="R236" s="1098">
        <f>+(M236/'Parametros Generales'!$C$9)</f>
        <v>0</v>
      </c>
      <c r="S236" s="395"/>
      <c r="T236" s="395"/>
      <c r="U236" s="395"/>
      <c r="V236" s="396"/>
      <c r="W236" s="376">
        <f>+R236*'Componentes T.H.'!$Q$9*'Parametros Generales'!$C$6</f>
        <v>0</v>
      </c>
      <c r="X236" s="376">
        <f>(+VLOOKUP(C236,'Transporte y Viaticos'!$B$87:$L$120,2,0)*'Parametros Generales'!$C$7*R236)*(2/3)</f>
        <v>0</v>
      </c>
      <c r="Y236" s="417"/>
      <c r="Z236" s="417"/>
      <c r="AA236" s="417"/>
      <c r="AB236" s="417">
        <f>+M236*'Parametros Generales'!$C$6*'Parametros Generales'!$J$9</f>
        <v>0</v>
      </c>
      <c r="AC236" s="417">
        <f>+H236*'Parametros Generales'!$J$10*'Parametros Generales'!$C$6*'Parametros Generales'!$C$11</f>
        <v>0</v>
      </c>
      <c r="AD236" s="417"/>
      <c r="AE236" s="417"/>
      <c r="AF236" s="417"/>
      <c r="AG236" s="417"/>
      <c r="AH236" s="417"/>
      <c r="AI236" s="417"/>
      <c r="AJ236" s="417"/>
      <c r="AK236" s="436"/>
      <c r="AL236" s="822"/>
    </row>
    <row r="237" spans="1:38" s="33" customFormat="1" hidden="1" outlineLevel="1">
      <c r="A237" s="1150"/>
      <c r="B237" s="823">
        <v>13</v>
      </c>
      <c r="C237" s="373" t="str">
        <f t="shared" si="19"/>
        <v>BOLÍVAR</v>
      </c>
      <c r="D237" s="374"/>
      <c r="E237" s="1113"/>
      <c r="F237" s="1104"/>
      <c r="G237" s="375"/>
      <c r="H237" s="1062"/>
      <c r="I237" s="1057"/>
      <c r="J237" s="1058"/>
      <c r="K237" s="1070" t="str">
        <f t="shared" si="17"/>
        <v>Ok</v>
      </c>
      <c r="L237" s="1077">
        <f t="shared" si="18"/>
        <v>0</v>
      </c>
      <c r="M237" s="1091">
        <f>+H237/'Parametros Generales'!$C$8</f>
        <v>0</v>
      </c>
      <c r="N237" s="1098"/>
      <c r="O237" s="1098"/>
      <c r="P237" s="1098"/>
      <c r="Q237" s="1098"/>
      <c r="R237" s="1098">
        <f>+(M237/'Parametros Generales'!$C$9)</f>
        <v>0</v>
      </c>
      <c r="S237" s="395"/>
      <c r="T237" s="395"/>
      <c r="U237" s="395"/>
      <c r="V237" s="396"/>
      <c r="W237" s="376">
        <f>+R237*'Componentes T.H.'!$Q$9*'Parametros Generales'!$C$6</f>
        <v>0</v>
      </c>
      <c r="X237" s="376">
        <f>(+VLOOKUP(C237,'Transporte y Viaticos'!$B$87:$L$120,2,0)*'Parametros Generales'!$C$7*R237)*(2/3)</f>
        <v>0</v>
      </c>
      <c r="Y237" s="417"/>
      <c r="Z237" s="417"/>
      <c r="AA237" s="417"/>
      <c r="AB237" s="417">
        <f>+M237*'Parametros Generales'!$C$6*'Parametros Generales'!$J$9</f>
        <v>0</v>
      </c>
      <c r="AC237" s="417">
        <f>+H237*'Parametros Generales'!$J$10*'Parametros Generales'!$C$6*'Parametros Generales'!$C$11</f>
        <v>0</v>
      </c>
      <c r="AD237" s="417"/>
      <c r="AE237" s="417"/>
      <c r="AF237" s="417"/>
      <c r="AG237" s="417"/>
      <c r="AH237" s="417"/>
      <c r="AI237" s="417"/>
      <c r="AJ237" s="417"/>
      <c r="AK237" s="436"/>
      <c r="AL237" s="822"/>
    </row>
    <row r="238" spans="1:38" s="392" customFormat="1" collapsed="1">
      <c r="A238" s="1151">
        <v>5</v>
      </c>
      <c r="B238" s="824">
        <v>15</v>
      </c>
      <c r="C238" s="372" t="s">
        <v>2319</v>
      </c>
      <c r="D238" s="386"/>
      <c r="E238" s="1114" t="s">
        <v>185</v>
      </c>
      <c r="F238" s="1105">
        <f>SUM(F239:F316)</f>
        <v>53</v>
      </c>
      <c r="G238" s="388">
        <f>+SUM(G239:G291)</f>
        <v>6775</v>
      </c>
      <c r="H238" s="512">
        <f>+SUM(H239:H316)</f>
        <v>7000</v>
      </c>
      <c r="I238" s="1057" t="s">
        <v>185</v>
      </c>
      <c r="J238" s="1067">
        <v>7000</v>
      </c>
      <c r="K238" s="1069" t="str">
        <f t="shared" si="17"/>
        <v>Ok</v>
      </c>
      <c r="L238" s="1077">
        <f t="shared" si="18"/>
        <v>0</v>
      </c>
      <c r="M238" s="512">
        <f>+SUM(M239:M316)</f>
        <v>280</v>
      </c>
      <c r="N238" s="1073">
        <f>+VLOOKUP(H238,'Parametros Generales'!$B$14:$D$17,3,TRUE)</f>
        <v>0.8</v>
      </c>
      <c r="O238" s="1073">
        <f>+VLOOKUP(H238,'Parametros Generales'!$B$14:$D$17,3,TRUE)</f>
        <v>0.8</v>
      </c>
      <c r="P238" s="1073">
        <f>+VLOOKUP(H238,'Parametros Generales'!$B$14:$D$17,3,TRUE)</f>
        <v>0.8</v>
      </c>
      <c r="Q238" s="1073">
        <f>+R238/'Parametros Generales'!$C$10</f>
        <v>8.75</v>
      </c>
      <c r="R238" s="512">
        <f>+SUM(R239:R316)</f>
        <v>70</v>
      </c>
      <c r="S238" s="390">
        <f>+VLOOKUP(S$1,'Componentes T.H.'!$B$4:$R$22,'Componentes T.H.'!$Q$1,0)*'Parametros Generales'!$C$6*'Cost x Depart'!N238</f>
        <v>11725411.310133336</v>
      </c>
      <c r="T238" s="390">
        <f>+VLOOKUP(T$1,'Componentes T.H.'!$B$4:$R$22,'Componentes T.H.'!$Q$1,0)*'Parametros Generales'!$C$6*'Cost x Depart'!O238</f>
        <v>8835052.5272000004</v>
      </c>
      <c r="U238" s="390">
        <f>+VLOOKUP(U$1,'Componentes T.H.'!$B$4:$R$22,'Componentes T.H.'!$Q$1,0)*'Parametros Generales'!$C$6*'Cost x Depart'!P238</f>
        <v>3912345.6000000001</v>
      </c>
      <c r="V238" s="389">
        <f>+VLOOKUP(V$1,'Componentes T.H.'!$B$4:$R$22,'Componentes T.H.'!$Q$1,0)*'Parametros Generales'!$C$6*'Cost x Depart'!Q238</f>
        <v>87421665.925416663</v>
      </c>
      <c r="W238" s="512">
        <f t="shared" ref="W238:X238" si="20">+SUM(W239:W316)</f>
        <v>351295494.96999979</v>
      </c>
      <c r="X238" s="512">
        <f t="shared" si="20"/>
        <v>39814115.813475989</v>
      </c>
      <c r="Y238" s="391">
        <f>+VLOOKUP(C239,'Transporte y Viaticos'!$B$87:$F$120,2,0)*((O238/'Parametros Generales'!$J$14)+(Q238/'Parametros Generales'!$J$15)+(R238/'Parametros Generales'!$J$16))*'Parametros Generales'!$C$6</f>
        <v>1900413.0637396667</v>
      </c>
      <c r="Z238" s="391">
        <f>+(N238+O238+Q238)*'Parametros Generales'!$C$6*'Parametros Generales'!$J$7</f>
        <v>2035017</v>
      </c>
      <c r="AA238" s="391">
        <f>+SUM(N238:R238)*'Parametros Generales'!$C$6*'Parametros Generales'!$J$8</f>
        <v>14566425</v>
      </c>
      <c r="AB238" s="512">
        <f t="shared" ref="AB238:AC238" si="21">+SUM(AB239:AB316)</f>
        <v>136334545.45454553</v>
      </c>
      <c r="AC238" s="512">
        <f t="shared" si="21"/>
        <v>515847456.85905695</v>
      </c>
      <c r="AD238" s="391">
        <f>+'Parametros Generales'!$J$11*SUM(N238:R238)</f>
        <v>2729886</v>
      </c>
      <c r="AE238" s="436">
        <f>+SUM(S238:AD238)</f>
        <v>1176417829.5235679</v>
      </c>
      <c r="AF238" s="391">
        <f>+AE238*(SUM('Res de Costos Pais'!G117:G117))</f>
        <v>80584621.322364405</v>
      </c>
      <c r="AG238" s="391">
        <f>+AE238+AF238</f>
        <v>1257002450.8459322</v>
      </c>
      <c r="AH238" s="391">
        <f>+AG238*SUM('Res de Costos Pais'!$G$123:$G$124)</f>
        <v>12142643.675171705</v>
      </c>
      <c r="AI238" s="391">
        <f>+(AG238+AH238)*'Res de Costos Pais'!$G$136</f>
        <v>3426691.7552069807</v>
      </c>
      <c r="AJ238" s="391">
        <f>+(AG238+AH238+AI238)*'Res de Costos Pais'!$G$140</f>
        <v>5090287.1451052437</v>
      </c>
      <c r="AK238" s="391">
        <f>+AG238+AH238+AI238+AJ238</f>
        <v>1277662073.4214163</v>
      </c>
      <c r="AL238" s="820">
        <f>IF(ISERROR((+(AK238/H238)/'Parametros Generales'!$C$6)),0,(+(AK238/H238)/'Parametros Generales'!$C$6))</f>
        <v>36504.630669183323</v>
      </c>
    </row>
    <row r="239" spans="1:38" s="33" customFormat="1" hidden="1" outlineLevel="1">
      <c r="A239" s="1150"/>
      <c r="B239" s="819">
        <v>15</v>
      </c>
      <c r="C239" s="377" t="s">
        <v>2319</v>
      </c>
      <c r="D239" s="378">
        <f>+VLOOKUP(E239,Codigos!$A$1:$B$1123,2,0)</f>
        <v>15001</v>
      </c>
      <c r="E239" s="1110" t="s">
        <v>1740</v>
      </c>
      <c r="F239" s="1102">
        <v>1</v>
      </c>
      <c r="G239" s="379">
        <v>400</v>
      </c>
      <c r="H239" s="1060">
        <f>CEILING(G239,'Parametros Generales'!$C$8)</f>
        <v>400</v>
      </c>
      <c r="I239" s="1057" t="s">
        <v>186</v>
      </c>
      <c r="J239" s="1058">
        <v>400</v>
      </c>
      <c r="K239" s="1070" t="str">
        <f t="shared" si="17"/>
        <v>Ok</v>
      </c>
      <c r="L239" s="1077">
        <f t="shared" si="18"/>
        <v>0</v>
      </c>
      <c r="M239" s="1089">
        <f>+H239/'Parametros Generales'!$C$8</f>
        <v>16</v>
      </c>
      <c r="N239" s="1096"/>
      <c r="O239" s="1096"/>
      <c r="P239" s="1096"/>
      <c r="Q239" s="1096"/>
      <c r="R239" s="1096">
        <f>+(M239/'Parametros Generales'!$C$9)</f>
        <v>4</v>
      </c>
      <c r="S239" s="393"/>
      <c r="T239" s="393"/>
      <c r="U239" s="393"/>
      <c r="V239" s="394"/>
      <c r="W239" s="380">
        <f>+R239*'Componentes T.H.'!$Q$9*'Parametros Generales'!$C$6</f>
        <v>20074028.284000002</v>
      </c>
      <c r="X239" s="380">
        <f>(+VLOOKUP(C239,'Transporte y Viaticos'!$B$87:$L$120,2,0)*'Parametros Generales'!$C$7*R239)*(2/3)</f>
        <v>2275092.3321986282</v>
      </c>
      <c r="Y239" s="417"/>
      <c r="Z239" s="417"/>
      <c r="AA239" s="417"/>
      <c r="AB239" s="417">
        <f>+M239*'Parametros Generales'!$C$6*'Parametros Generales'!$J$9</f>
        <v>7790545.4545454569</v>
      </c>
      <c r="AC239" s="417">
        <f>+H239*'Parametros Generales'!$J$10*'Parametros Generales'!$C$6*'Parametros Generales'!$C$11</f>
        <v>29476997.534803249</v>
      </c>
      <c r="AD239" s="417"/>
      <c r="AE239" s="417"/>
      <c r="AF239" s="417"/>
      <c r="AG239" s="417"/>
      <c r="AH239" s="417"/>
      <c r="AI239" s="417"/>
      <c r="AJ239" s="417"/>
      <c r="AK239" s="436"/>
      <c r="AL239" s="822"/>
    </row>
    <row r="240" spans="1:38" s="33" customFormat="1" hidden="1" outlineLevel="1">
      <c r="A240" s="1150"/>
      <c r="B240" s="821">
        <v>15</v>
      </c>
      <c r="C240" s="371" t="s">
        <v>2319</v>
      </c>
      <c r="D240" s="31">
        <f>+VLOOKUP(E240,Codigos!$A$1:$B$1123,2,0)</f>
        <v>15047</v>
      </c>
      <c r="E240" s="1111" t="s">
        <v>1741</v>
      </c>
      <c r="F240" s="1103">
        <v>1</v>
      </c>
      <c r="G240" s="30">
        <v>200</v>
      </c>
      <c r="H240" s="1061">
        <f>CEILING(G240,'Parametros Generales'!$C$8)</f>
        <v>200</v>
      </c>
      <c r="I240" s="1057" t="s">
        <v>187</v>
      </c>
      <c r="J240" s="1058">
        <v>200</v>
      </c>
      <c r="K240" s="1070" t="str">
        <f t="shared" si="17"/>
        <v>Ok</v>
      </c>
      <c r="L240" s="1077">
        <f t="shared" si="18"/>
        <v>0</v>
      </c>
      <c r="M240" s="1090">
        <f>+H240/'Parametros Generales'!$C$8</f>
        <v>8</v>
      </c>
      <c r="N240" s="1097"/>
      <c r="O240" s="1097"/>
      <c r="P240" s="1097"/>
      <c r="Q240" s="1097"/>
      <c r="R240" s="1097">
        <f>+(M240/'Parametros Generales'!$C$9)</f>
        <v>2</v>
      </c>
      <c r="S240" s="390"/>
      <c r="T240" s="390"/>
      <c r="U240" s="390"/>
      <c r="V240" s="389"/>
      <c r="W240" s="32">
        <f>+R240*'Componentes T.H.'!$Q$9*'Parametros Generales'!$C$6</f>
        <v>10037014.142000001</v>
      </c>
      <c r="X240" s="32">
        <f>(+VLOOKUP(C240,'Transporte y Viaticos'!$B$87:$L$120,2,0)*'Parametros Generales'!$C$7*R240)*(2/3)</f>
        <v>1137546.1660993141</v>
      </c>
      <c r="Y240" s="417"/>
      <c r="Z240" s="417"/>
      <c r="AA240" s="417"/>
      <c r="AB240" s="417">
        <f>+M240*'Parametros Generales'!$C$6*'Parametros Generales'!$J$9</f>
        <v>3895272.7272727285</v>
      </c>
      <c r="AC240" s="417">
        <f>+H240*'Parametros Generales'!$J$10*'Parametros Generales'!$C$6*'Parametros Generales'!$C$11</f>
        <v>14738498.767401624</v>
      </c>
      <c r="AD240" s="417"/>
      <c r="AE240" s="417"/>
      <c r="AF240" s="417"/>
      <c r="AG240" s="417"/>
      <c r="AH240" s="417"/>
      <c r="AI240" s="417"/>
      <c r="AJ240" s="417"/>
      <c r="AK240" s="436"/>
      <c r="AL240" s="822"/>
    </row>
    <row r="241" spans="1:38" s="33" customFormat="1" hidden="1" outlineLevel="1">
      <c r="A241" s="1150"/>
      <c r="B241" s="821">
        <v>15</v>
      </c>
      <c r="C241" s="371" t="s">
        <v>2319</v>
      </c>
      <c r="D241" s="31">
        <f>+VLOOKUP(E241,Codigos!$A$1:$B$1123,2,0)</f>
        <v>15092</v>
      </c>
      <c r="E241" s="1111" t="s">
        <v>1742</v>
      </c>
      <c r="F241" s="1103">
        <v>1</v>
      </c>
      <c r="G241" s="30">
        <v>50</v>
      </c>
      <c r="H241" s="1061">
        <f>CEILING(G241,'Parametros Generales'!$C$8)</f>
        <v>50</v>
      </c>
      <c r="I241" s="1057" t="s">
        <v>827</v>
      </c>
      <c r="J241" s="1058">
        <v>50</v>
      </c>
      <c r="K241" s="1070" t="str">
        <f t="shared" si="17"/>
        <v>Ok</v>
      </c>
      <c r="L241" s="1077">
        <f t="shared" si="18"/>
        <v>0</v>
      </c>
      <c r="M241" s="1090">
        <f>+H241/'Parametros Generales'!$C$8</f>
        <v>2</v>
      </c>
      <c r="N241" s="1097"/>
      <c r="O241" s="1097"/>
      <c r="P241" s="1097"/>
      <c r="Q241" s="1097"/>
      <c r="R241" s="1097">
        <f>+(M241/'Parametros Generales'!$C$9)</f>
        <v>0.5</v>
      </c>
      <c r="S241" s="390"/>
      <c r="T241" s="390"/>
      <c r="U241" s="390"/>
      <c r="V241" s="389"/>
      <c r="W241" s="32">
        <f>+R241*'Componentes T.H.'!$Q$9*'Parametros Generales'!$C$6</f>
        <v>2509253.5355000002</v>
      </c>
      <c r="X241" s="32">
        <f>(+VLOOKUP(C241,'Transporte y Viaticos'!$B$87:$L$120,2,0)*'Parametros Generales'!$C$7*R241)*(2/3)</f>
        <v>284386.54152482853</v>
      </c>
      <c r="Y241" s="417"/>
      <c r="Z241" s="417"/>
      <c r="AA241" s="417"/>
      <c r="AB241" s="417">
        <f>+M241*'Parametros Generales'!$C$6*'Parametros Generales'!$J$9</f>
        <v>973818.18181818211</v>
      </c>
      <c r="AC241" s="417">
        <f>+H241*'Parametros Generales'!$J$10*'Parametros Generales'!$C$6*'Parametros Generales'!$C$11</f>
        <v>3684624.6918504061</v>
      </c>
      <c r="AD241" s="417"/>
      <c r="AE241" s="417"/>
      <c r="AF241" s="417"/>
      <c r="AG241" s="417"/>
      <c r="AH241" s="417"/>
      <c r="AI241" s="417"/>
      <c r="AJ241" s="417"/>
      <c r="AK241" s="436"/>
      <c r="AL241" s="822"/>
    </row>
    <row r="242" spans="1:38" s="33" customFormat="1" hidden="1" outlineLevel="1">
      <c r="A242" s="1150"/>
      <c r="B242" s="821">
        <v>15</v>
      </c>
      <c r="C242" s="371" t="s">
        <v>2319</v>
      </c>
      <c r="D242" s="31">
        <f>+VLOOKUP(E242,Codigos!$A$1:$B$1123,2,0)</f>
        <v>15097</v>
      </c>
      <c r="E242" s="1111" t="s">
        <v>1743</v>
      </c>
      <c r="F242" s="1103">
        <v>1</v>
      </c>
      <c r="G242" s="30">
        <v>50</v>
      </c>
      <c r="H242" s="1061">
        <f>CEILING(G242,'Parametros Generales'!$C$8)</f>
        <v>50</v>
      </c>
      <c r="I242" s="1057" t="s">
        <v>828</v>
      </c>
      <c r="J242" s="1058">
        <v>50</v>
      </c>
      <c r="K242" s="1070" t="str">
        <f t="shared" si="17"/>
        <v>Ok</v>
      </c>
      <c r="L242" s="1077">
        <f t="shared" si="18"/>
        <v>0</v>
      </c>
      <c r="M242" s="1090">
        <f>+H242/'Parametros Generales'!$C$8</f>
        <v>2</v>
      </c>
      <c r="N242" s="1097"/>
      <c r="O242" s="1097"/>
      <c r="P242" s="1097"/>
      <c r="Q242" s="1097"/>
      <c r="R242" s="1097">
        <f>+(M242/'Parametros Generales'!$C$9)</f>
        <v>0.5</v>
      </c>
      <c r="S242" s="390"/>
      <c r="T242" s="390"/>
      <c r="U242" s="390"/>
      <c r="V242" s="389"/>
      <c r="W242" s="32">
        <f>+R242*'Componentes T.H.'!$Q$9*'Parametros Generales'!$C$6</f>
        <v>2509253.5355000002</v>
      </c>
      <c r="X242" s="32">
        <f>(+VLOOKUP(C242,'Transporte y Viaticos'!$B$87:$L$120,2,0)*'Parametros Generales'!$C$7*R242)*(2/3)</f>
        <v>284386.54152482853</v>
      </c>
      <c r="Y242" s="417"/>
      <c r="Z242" s="417"/>
      <c r="AA242" s="417"/>
      <c r="AB242" s="417">
        <f>+M242*'Parametros Generales'!$C$6*'Parametros Generales'!$J$9</f>
        <v>973818.18181818211</v>
      </c>
      <c r="AC242" s="417">
        <f>+H242*'Parametros Generales'!$J$10*'Parametros Generales'!$C$6*'Parametros Generales'!$C$11</f>
        <v>3684624.6918504061</v>
      </c>
      <c r="AD242" s="417"/>
      <c r="AE242" s="417"/>
      <c r="AF242" s="417"/>
      <c r="AG242" s="417"/>
      <c r="AH242" s="417"/>
      <c r="AI242" s="417"/>
      <c r="AJ242" s="417"/>
      <c r="AK242" s="436"/>
      <c r="AL242" s="822"/>
    </row>
    <row r="243" spans="1:38" s="33" customFormat="1" hidden="1" outlineLevel="1">
      <c r="A243" s="1150"/>
      <c r="B243" s="821">
        <v>15</v>
      </c>
      <c r="C243" s="371" t="s">
        <v>2319</v>
      </c>
      <c r="D243" s="31">
        <f>+VLOOKUP(E243,Codigos!$A$1:$B$1123,2,0)</f>
        <v>15135</v>
      </c>
      <c r="E243" s="1112" t="s">
        <v>1744</v>
      </c>
      <c r="F243" s="1103">
        <v>1</v>
      </c>
      <c r="G243" s="30">
        <v>50</v>
      </c>
      <c r="H243" s="1061">
        <f>CEILING(G243,'Parametros Generales'!$C$8)</f>
        <v>50</v>
      </c>
      <c r="I243" s="1057" t="s">
        <v>832</v>
      </c>
      <c r="J243" s="1058">
        <v>50</v>
      </c>
      <c r="K243" s="1070" t="str">
        <f t="shared" si="17"/>
        <v>Ok</v>
      </c>
      <c r="L243" s="1077">
        <f t="shared" si="18"/>
        <v>0</v>
      </c>
      <c r="M243" s="1090">
        <f>+H243/'Parametros Generales'!$C$8</f>
        <v>2</v>
      </c>
      <c r="N243" s="1097"/>
      <c r="O243" s="1097"/>
      <c r="P243" s="1097"/>
      <c r="Q243" s="1097"/>
      <c r="R243" s="1097">
        <f>+(M243/'Parametros Generales'!$C$9)</f>
        <v>0.5</v>
      </c>
      <c r="S243" s="390"/>
      <c r="T243" s="390"/>
      <c r="U243" s="390"/>
      <c r="V243" s="389"/>
      <c r="W243" s="32">
        <f>+R243*'Componentes T.H.'!$Q$9*'Parametros Generales'!$C$6</f>
        <v>2509253.5355000002</v>
      </c>
      <c r="X243" s="32">
        <f>(+VLOOKUP(C243,'Transporte y Viaticos'!$B$87:$L$120,2,0)*'Parametros Generales'!$C$7*R243)*(2/3)</f>
        <v>284386.54152482853</v>
      </c>
      <c r="Y243" s="417"/>
      <c r="Z243" s="417"/>
      <c r="AA243" s="417"/>
      <c r="AB243" s="417">
        <f>+M243*'Parametros Generales'!$C$6*'Parametros Generales'!$J$9</f>
        <v>973818.18181818211</v>
      </c>
      <c r="AC243" s="417">
        <f>+H243*'Parametros Generales'!$J$10*'Parametros Generales'!$C$6*'Parametros Generales'!$C$11</f>
        <v>3684624.6918504061</v>
      </c>
      <c r="AD243" s="417"/>
      <c r="AE243" s="417"/>
      <c r="AF243" s="417"/>
      <c r="AG243" s="417"/>
      <c r="AH243" s="417"/>
      <c r="AI243" s="417"/>
      <c r="AJ243" s="417"/>
      <c r="AK243" s="436"/>
      <c r="AL243" s="822"/>
    </row>
    <row r="244" spans="1:38" s="33" customFormat="1" hidden="1" outlineLevel="1">
      <c r="A244" s="1150"/>
      <c r="B244" s="821">
        <v>15</v>
      </c>
      <c r="C244" s="371" t="s">
        <v>2319</v>
      </c>
      <c r="D244" s="31">
        <f>+VLOOKUP(E244,Codigos!$A$1:$B$1123,2,0)</f>
        <v>15176</v>
      </c>
      <c r="E244" s="1111" t="s">
        <v>1745</v>
      </c>
      <c r="F244" s="1103">
        <v>1</v>
      </c>
      <c r="G244" s="30">
        <v>200</v>
      </c>
      <c r="H244" s="1061">
        <f>CEILING(G244,'Parametros Generales'!$C$8)</f>
        <v>200</v>
      </c>
      <c r="I244" s="1057" t="s">
        <v>188</v>
      </c>
      <c r="J244" s="1058">
        <v>200</v>
      </c>
      <c r="K244" s="1070" t="str">
        <f t="shared" si="17"/>
        <v>Ok</v>
      </c>
      <c r="L244" s="1077">
        <f t="shared" si="18"/>
        <v>0</v>
      </c>
      <c r="M244" s="1090">
        <f>+H244/'Parametros Generales'!$C$8</f>
        <v>8</v>
      </c>
      <c r="N244" s="1097"/>
      <c r="O244" s="1097"/>
      <c r="P244" s="1097"/>
      <c r="Q244" s="1097"/>
      <c r="R244" s="1097">
        <f>+(M244/'Parametros Generales'!$C$9)</f>
        <v>2</v>
      </c>
      <c r="S244" s="390"/>
      <c r="T244" s="390"/>
      <c r="U244" s="390"/>
      <c r="V244" s="389"/>
      <c r="W244" s="32">
        <f>+R244*'Componentes T.H.'!$Q$9*'Parametros Generales'!$C$6</f>
        <v>10037014.142000001</v>
      </c>
      <c r="X244" s="32">
        <f>(+VLOOKUP(C244,'Transporte y Viaticos'!$B$87:$L$120,2,0)*'Parametros Generales'!$C$7*R244)*(2/3)</f>
        <v>1137546.1660993141</v>
      </c>
      <c r="Y244" s="417"/>
      <c r="Z244" s="417"/>
      <c r="AA244" s="417"/>
      <c r="AB244" s="417">
        <f>+M244*'Parametros Generales'!$C$6*'Parametros Generales'!$J$9</f>
        <v>3895272.7272727285</v>
      </c>
      <c r="AC244" s="417">
        <f>+H244*'Parametros Generales'!$J$10*'Parametros Generales'!$C$6*'Parametros Generales'!$C$11</f>
        <v>14738498.767401624</v>
      </c>
      <c r="AD244" s="417"/>
      <c r="AE244" s="417"/>
      <c r="AF244" s="417"/>
      <c r="AG244" s="417"/>
      <c r="AH244" s="417"/>
      <c r="AI244" s="417"/>
      <c r="AJ244" s="417"/>
      <c r="AK244" s="436"/>
      <c r="AL244" s="822"/>
    </row>
    <row r="245" spans="1:38" s="33" customFormat="1" hidden="1" outlineLevel="1">
      <c r="A245" s="1150"/>
      <c r="B245" s="821">
        <v>15</v>
      </c>
      <c r="C245" s="371" t="s">
        <v>2319</v>
      </c>
      <c r="D245" s="31">
        <f>+VLOOKUP(E245,Codigos!$A$1:$B$1123,2,0)</f>
        <v>15236</v>
      </c>
      <c r="E245" s="1112" t="s">
        <v>1746</v>
      </c>
      <c r="F245" s="1103">
        <v>1</v>
      </c>
      <c r="G245" s="30">
        <v>75</v>
      </c>
      <c r="H245" s="1061">
        <f>CEILING((G245+25),'Parametros Generales'!$C$8)</f>
        <v>100</v>
      </c>
      <c r="I245" s="1057" t="s">
        <v>843</v>
      </c>
      <c r="J245" s="1058">
        <v>100</v>
      </c>
      <c r="K245" s="1070" t="str">
        <f t="shared" si="17"/>
        <v>Ok</v>
      </c>
      <c r="L245" s="1077">
        <f t="shared" si="18"/>
        <v>0</v>
      </c>
      <c r="M245" s="1090">
        <f>+H245/'Parametros Generales'!$C$8</f>
        <v>4</v>
      </c>
      <c r="N245" s="1097"/>
      <c r="O245" s="1097"/>
      <c r="P245" s="1097"/>
      <c r="Q245" s="1097"/>
      <c r="R245" s="1097">
        <f>+(M245/'Parametros Generales'!$C$9)</f>
        <v>1</v>
      </c>
      <c r="S245" s="390"/>
      <c r="T245" s="390"/>
      <c r="U245" s="390"/>
      <c r="V245" s="389"/>
      <c r="W245" s="32">
        <f>+R245*'Componentes T.H.'!$Q$9*'Parametros Generales'!$C$6</f>
        <v>5018507.0710000005</v>
      </c>
      <c r="X245" s="32">
        <f>(+VLOOKUP(C245,'Transporte y Viaticos'!$B$87:$L$120,2,0)*'Parametros Generales'!$C$7*R245)*(2/3)</f>
        <v>568773.08304965706</v>
      </c>
      <c r="Y245" s="417"/>
      <c r="Z245" s="417"/>
      <c r="AA245" s="417"/>
      <c r="AB245" s="417">
        <f>+M245*'Parametros Generales'!$C$6*'Parametros Generales'!$J$9</f>
        <v>1947636.3636363642</v>
      </c>
      <c r="AC245" s="417">
        <f>+H245*'Parametros Generales'!$J$10*'Parametros Generales'!$C$6*'Parametros Generales'!$C$11</f>
        <v>7369249.3837008122</v>
      </c>
      <c r="AD245" s="417"/>
      <c r="AE245" s="417"/>
      <c r="AF245" s="417"/>
      <c r="AG245" s="417"/>
      <c r="AH245" s="417"/>
      <c r="AI245" s="417"/>
      <c r="AJ245" s="417"/>
      <c r="AK245" s="436"/>
      <c r="AL245" s="822"/>
    </row>
    <row r="246" spans="1:38" s="33" customFormat="1" hidden="1" outlineLevel="1">
      <c r="A246" s="1150"/>
      <c r="B246" s="821">
        <v>15</v>
      </c>
      <c r="C246" s="371" t="s">
        <v>2319</v>
      </c>
      <c r="D246" s="31">
        <f>+VLOOKUP(E246,Codigos!$A$1:$B$1123,2,0)</f>
        <v>15204</v>
      </c>
      <c r="E246" s="1112" t="s">
        <v>1747</v>
      </c>
      <c r="F246" s="1103">
        <v>1</v>
      </c>
      <c r="G246" s="30">
        <v>200</v>
      </c>
      <c r="H246" s="1061">
        <f>CEILING(G246,'Parametros Generales'!$C$8)</f>
        <v>200</v>
      </c>
      <c r="I246" s="1057" t="s">
        <v>189</v>
      </c>
      <c r="J246" s="1058">
        <v>200</v>
      </c>
      <c r="K246" s="1070" t="str">
        <f t="shared" si="17"/>
        <v>Ok</v>
      </c>
      <c r="L246" s="1077">
        <f t="shared" si="18"/>
        <v>0</v>
      </c>
      <c r="M246" s="1090">
        <f>+H246/'Parametros Generales'!$C$8</f>
        <v>8</v>
      </c>
      <c r="N246" s="1097"/>
      <c r="O246" s="1097"/>
      <c r="P246" s="1097"/>
      <c r="Q246" s="1097"/>
      <c r="R246" s="1097">
        <f>+(M246/'Parametros Generales'!$C$9)</f>
        <v>2</v>
      </c>
      <c r="S246" s="390"/>
      <c r="T246" s="390"/>
      <c r="U246" s="390"/>
      <c r="V246" s="389"/>
      <c r="W246" s="32">
        <f>+R246*'Componentes T.H.'!$Q$9*'Parametros Generales'!$C$6</f>
        <v>10037014.142000001</v>
      </c>
      <c r="X246" s="32">
        <f>(+VLOOKUP(C246,'Transporte y Viaticos'!$B$87:$L$120,2,0)*'Parametros Generales'!$C$7*R246)*(2/3)</f>
        <v>1137546.1660993141</v>
      </c>
      <c r="Y246" s="417"/>
      <c r="Z246" s="417"/>
      <c r="AA246" s="417"/>
      <c r="AB246" s="417">
        <f>+M246*'Parametros Generales'!$C$6*'Parametros Generales'!$J$9</f>
        <v>3895272.7272727285</v>
      </c>
      <c r="AC246" s="417">
        <f>+H246*'Parametros Generales'!$J$10*'Parametros Generales'!$C$6*'Parametros Generales'!$C$11</f>
        <v>14738498.767401624</v>
      </c>
      <c r="AD246" s="417"/>
      <c r="AE246" s="417"/>
      <c r="AF246" s="417"/>
      <c r="AG246" s="417"/>
      <c r="AH246" s="417"/>
      <c r="AI246" s="417"/>
      <c r="AJ246" s="417"/>
      <c r="AK246" s="436"/>
      <c r="AL246" s="822"/>
    </row>
    <row r="247" spans="1:38" s="33" customFormat="1" hidden="1" outlineLevel="1">
      <c r="A247" s="1150"/>
      <c r="B247" s="821">
        <v>15</v>
      </c>
      <c r="C247" s="371" t="s">
        <v>2319</v>
      </c>
      <c r="D247" s="31">
        <f>+VLOOKUP(E247,Codigos!$A$1:$B$1123,2,0)</f>
        <v>15215</v>
      </c>
      <c r="E247" s="1111" t="s">
        <v>1748</v>
      </c>
      <c r="F247" s="1103">
        <v>1</v>
      </c>
      <c r="G247" s="30">
        <v>200</v>
      </c>
      <c r="H247" s="1061">
        <f>CEILING(G247,'Parametros Generales'!$C$8)</f>
        <v>200</v>
      </c>
      <c r="I247" s="1057" t="s">
        <v>190</v>
      </c>
      <c r="J247" s="1058">
        <v>200</v>
      </c>
      <c r="K247" s="1070" t="str">
        <f t="shared" si="17"/>
        <v>Ok</v>
      </c>
      <c r="L247" s="1077">
        <f t="shared" si="18"/>
        <v>0</v>
      </c>
      <c r="M247" s="1090">
        <f>+H247/'Parametros Generales'!$C$8</f>
        <v>8</v>
      </c>
      <c r="N247" s="1097"/>
      <c r="O247" s="1097"/>
      <c r="P247" s="1097"/>
      <c r="Q247" s="1097"/>
      <c r="R247" s="1097">
        <f>+(M247/'Parametros Generales'!$C$9)</f>
        <v>2</v>
      </c>
      <c r="S247" s="390"/>
      <c r="T247" s="390"/>
      <c r="U247" s="390"/>
      <c r="V247" s="389"/>
      <c r="W247" s="32">
        <f>+R247*'Componentes T.H.'!$Q$9*'Parametros Generales'!$C$6</f>
        <v>10037014.142000001</v>
      </c>
      <c r="X247" s="32">
        <f>(+VLOOKUP(C247,'Transporte y Viaticos'!$B$87:$L$120,2,0)*'Parametros Generales'!$C$7*R247)*(2/3)</f>
        <v>1137546.1660993141</v>
      </c>
      <c r="Y247" s="417"/>
      <c r="Z247" s="417"/>
      <c r="AA247" s="417"/>
      <c r="AB247" s="417">
        <f>+M247*'Parametros Generales'!$C$6*'Parametros Generales'!$J$9</f>
        <v>3895272.7272727285</v>
      </c>
      <c r="AC247" s="417">
        <f>+H247*'Parametros Generales'!$J$10*'Parametros Generales'!$C$6*'Parametros Generales'!$C$11</f>
        <v>14738498.767401624</v>
      </c>
      <c r="AD247" s="417"/>
      <c r="AE247" s="417"/>
      <c r="AF247" s="417"/>
      <c r="AG247" s="417"/>
      <c r="AH247" s="417"/>
      <c r="AI247" s="417"/>
      <c r="AJ247" s="417"/>
      <c r="AK247" s="436"/>
      <c r="AL247" s="822"/>
    </row>
    <row r="248" spans="1:38" s="33" customFormat="1" hidden="1" outlineLevel="1">
      <c r="A248" s="1150"/>
      <c r="B248" s="821">
        <v>15</v>
      </c>
      <c r="C248" s="371" t="s">
        <v>2319</v>
      </c>
      <c r="D248" s="31">
        <f>+VLOOKUP(E248,Codigos!$A$1:$B$1123,2,0)</f>
        <v>15218</v>
      </c>
      <c r="E248" s="1112" t="s">
        <v>1749</v>
      </c>
      <c r="F248" s="1103">
        <v>1</v>
      </c>
      <c r="G248" s="30">
        <v>100</v>
      </c>
      <c r="H248" s="1061">
        <f>CEILING(G248,'Parametros Generales'!$C$8)</f>
        <v>100</v>
      </c>
      <c r="I248" s="1057" t="s">
        <v>191</v>
      </c>
      <c r="J248" s="1058">
        <v>100</v>
      </c>
      <c r="K248" s="1070" t="str">
        <f t="shared" si="17"/>
        <v>Ok</v>
      </c>
      <c r="L248" s="1077">
        <f t="shared" si="18"/>
        <v>0</v>
      </c>
      <c r="M248" s="1090">
        <f>+H248/'Parametros Generales'!$C$8</f>
        <v>4</v>
      </c>
      <c r="N248" s="1097"/>
      <c r="O248" s="1097"/>
      <c r="P248" s="1097"/>
      <c r="Q248" s="1097"/>
      <c r="R248" s="1097">
        <f>+(M248/'Parametros Generales'!$C$9)</f>
        <v>1</v>
      </c>
      <c r="S248" s="390"/>
      <c r="T248" s="390"/>
      <c r="U248" s="390"/>
      <c r="V248" s="389"/>
      <c r="W248" s="32">
        <f>+R248*'Componentes T.H.'!$Q$9*'Parametros Generales'!$C$6</f>
        <v>5018507.0710000005</v>
      </c>
      <c r="X248" s="32">
        <f>(+VLOOKUP(C248,'Transporte y Viaticos'!$B$87:$L$120,2,0)*'Parametros Generales'!$C$7*R248)*(2/3)</f>
        <v>568773.08304965706</v>
      </c>
      <c r="Y248" s="417"/>
      <c r="Z248" s="417"/>
      <c r="AA248" s="417"/>
      <c r="AB248" s="417">
        <f>+M248*'Parametros Generales'!$C$6*'Parametros Generales'!$J$9</f>
        <v>1947636.3636363642</v>
      </c>
      <c r="AC248" s="417">
        <f>+H248*'Parametros Generales'!$J$10*'Parametros Generales'!$C$6*'Parametros Generales'!$C$11</f>
        <v>7369249.3837008122</v>
      </c>
      <c r="AD248" s="417"/>
      <c r="AE248" s="417"/>
      <c r="AF248" s="417"/>
      <c r="AG248" s="417"/>
      <c r="AH248" s="417"/>
      <c r="AI248" s="417"/>
      <c r="AJ248" s="417"/>
      <c r="AK248" s="436"/>
      <c r="AL248" s="822"/>
    </row>
    <row r="249" spans="1:38" s="33" customFormat="1" hidden="1" outlineLevel="1">
      <c r="A249" s="1150"/>
      <c r="B249" s="821">
        <v>15</v>
      </c>
      <c r="C249" s="371" t="s">
        <v>2319</v>
      </c>
      <c r="D249" s="31">
        <f>+VLOOKUP(E249,Codigos!$A$1:$B$1123,2,0)</f>
        <v>15224</v>
      </c>
      <c r="E249" s="1112" t="s">
        <v>1750</v>
      </c>
      <c r="F249" s="1103">
        <v>1</v>
      </c>
      <c r="G249" s="30">
        <v>100</v>
      </c>
      <c r="H249" s="1061">
        <f>CEILING(G249,'Parametros Generales'!$C$8)</f>
        <v>100</v>
      </c>
      <c r="I249" s="1057" t="s">
        <v>192</v>
      </c>
      <c r="J249" s="1058">
        <v>100</v>
      </c>
      <c r="K249" s="1070" t="str">
        <f t="shared" si="17"/>
        <v>Ok</v>
      </c>
      <c r="L249" s="1077">
        <f t="shared" si="18"/>
        <v>0</v>
      </c>
      <c r="M249" s="1090">
        <f>+H249/'Parametros Generales'!$C$8</f>
        <v>4</v>
      </c>
      <c r="N249" s="1097"/>
      <c r="O249" s="1097"/>
      <c r="P249" s="1097"/>
      <c r="Q249" s="1097"/>
      <c r="R249" s="1097">
        <f>+(M249/'Parametros Generales'!$C$9)</f>
        <v>1</v>
      </c>
      <c r="S249" s="390"/>
      <c r="T249" s="390"/>
      <c r="U249" s="390"/>
      <c r="V249" s="389"/>
      <c r="W249" s="32">
        <f>+R249*'Componentes T.H.'!$Q$9*'Parametros Generales'!$C$6</f>
        <v>5018507.0710000005</v>
      </c>
      <c r="X249" s="32">
        <f>(+VLOOKUP(C249,'Transporte y Viaticos'!$B$87:$L$120,2,0)*'Parametros Generales'!$C$7*R249)*(2/3)</f>
        <v>568773.08304965706</v>
      </c>
      <c r="Y249" s="417"/>
      <c r="Z249" s="417"/>
      <c r="AA249" s="417"/>
      <c r="AB249" s="417">
        <f>+M249*'Parametros Generales'!$C$6*'Parametros Generales'!$J$9</f>
        <v>1947636.3636363642</v>
      </c>
      <c r="AC249" s="417">
        <f>+H249*'Parametros Generales'!$J$10*'Parametros Generales'!$C$6*'Parametros Generales'!$C$11</f>
        <v>7369249.3837008122</v>
      </c>
      <c r="AD249" s="417"/>
      <c r="AE249" s="417"/>
      <c r="AF249" s="417"/>
      <c r="AG249" s="417"/>
      <c r="AH249" s="417"/>
      <c r="AI249" s="417"/>
      <c r="AJ249" s="417"/>
      <c r="AK249" s="436"/>
      <c r="AL249" s="822"/>
    </row>
    <row r="250" spans="1:38" s="33" customFormat="1" hidden="1" outlineLevel="1">
      <c r="A250" s="1150"/>
      <c r="B250" s="821">
        <v>15</v>
      </c>
      <c r="C250" s="371" t="s">
        <v>2319</v>
      </c>
      <c r="D250" s="31">
        <f>+VLOOKUP(E250,Codigos!$A$1:$B$1123,2,0)</f>
        <v>15226</v>
      </c>
      <c r="E250" s="1112" t="s">
        <v>1751</v>
      </c>
      <c r="F250" s="1103">
        <v>1</v>
      </c>
      <c r="G250" s="30">
        <v>100</v>
      </c>
      <c r="H250" s="1061">
        <f>CEILING((G250-50),'Parametros Generales'!$C$8)</f>
        <v>50</v>
      </c>
      <c r="I250" s="1057" t="s">
        <v>193</v>
      </c>
      <c r="J250" s="1058">
        <v>50</v>
      </c>
      <c r="K250" s="1070" t="str">
        <f t="shared" si="17"/>
        <v>Ok</v>
      </c>
      <c r="L250" s="1077">
        <f t="shared" si="18"/>
        <v>0</v>
      </c>
      <c r="M250" s="1090">
        <f>+H250/'Parametros Generales'!$C$8</f>
        <v>2</v>
      </c>
      <c r="N250" s="1097"/>
      <c r="O250" s="1097"/>
      <c r="P250" s="1097"/>
      <c r="Q250" s="1097"/>
      <c r="R250" s="1097">
        <f>+(M250/'Parametros Generales'!$C$9)</f>
        <v>0.5</v>
      </c>
      <c r="S250" s="390"/>
      <c r="T250" s="390"/>
      <c r="U250" s="390"/>
      <c r="V250" s="389"/>
      <c r="W250" s="32">
        <f>+R250*'Componentes T.H.'!$Q$9*'Parametros Generales'!$C$6</f>
        <v>2509253.5355000002</v>
      </c>
      <c r="X250" s="32">
        <f>(+VLOOKUP(C250,'Transporte y Viaticos'!$B$87:$L$120,2,0)*'Parametros Generales'!$C$7*R250)*(2/3)</f>
        <v>284386.54152482853</v>
      </c>
      <c r="Y250" s="417"/>
      <c r="Z250" s="417"/>
      <c r="AA250" s="417"/>
      <c r="AB250" s="417">
        <f>+M250*'Parametros Generales'!$C$6*'Parametros Generales'!$J$9</f>
        <v>973818.18181818211</v>
      </c>
      <c r="AC250" s="417">
        <f>+H250*'Parametros Generales'!$J$10*'Parametros Generales'!$C$6*'Parametros Generales'!$C$11</f>
        <v>3684624.6918504061</v>
      </c>
      <c r="AD250" s="417"/>
      <c r="AE250" s="417"/>
      <c r="AF250" s="417"/>
      <c r="AG250" s="417"/>
      <c r="AH250" s="417"/>
      <c r="AI250" s="417"/>
      <c r="AJ250" s="417"/>
      <c r="AK250" s="436"/>
      <c r="AL250" s="822"/>
    </row>
    <row r="251" spans="1:38" s="33" customFormat="1" hidden="1" outlineLevel="1">
      <c r="A251" s="1150"/>
      <c r="B251" s="821">
        <v>15</v>
      </c>
      <c r="C251" s="371" t="s">
        <v>2319</v>
      </c>
      <c r="D251" s="31">
        <f>+VLOOKUP(E251,Codigos!$A$1:$B$1123,2,0)</f>
        <v>15238</v>
      </c>
      <c r="E251" s="1112" t="s">
        <v>1752</v>
      </c>
      <c r="F251" s="1103">
        <v>1</v>
      </c>
      <c r="G251" s="30">
        <v>200</v>
      </c>
      <c r="H251" s="1061">
        <f>CEILING(G251,'Parametros Generales'!$C$8)</f>
        <v>200</v>
      </c>
      <c r="I251" s="1057" t="s">
        <v>194</v>
      </c>
      <c r="J251" s="1058">
        <v>200</v>
      </c>
      <c r="K251" s="1070" t="str">
        <f t="shared" si="17"/>
        <v>Ok</v>
      </c>
      <c r="L251" s="1077">
        <f t="shared" si="18"/>
        <v>0</v>
      </c>
      <c r="M251" s="1090">
        <f>+H251/'Parametros Generales'!$C$8</f>
        <v>8</v>
      </c>
      <c r="N251" s="1097"/>
      <c r="O251" s="1097"/>
      <c r="P251" s="1097"/>
      <c r="Q251" s="1097"/>
      <c r="R251" s="1097">
        <f>+(M251/'Parametros Generales'!$C$9)</f>
        <v>2</v>
      </c>
      <c r="S251" s="390"/>
      <c r="T251" s="390"/>
      <c r="U251" s="390"/>
      <c r="V251" s="389"/>
      <c r="W251" s="32">
        <f>+R251*'Componentes T.H.'!$Q$9*'Parametros Generales'!$C$6</f>
        <v>10037014.142000001</v>
      </c>
      <c r="X251" s="32">
        <f>(+VLOOKUP(C251,'Transporte y Viaticos'!$B$87:$L$120,2,0)*'Parametros Generales'!$C$7*R251)*(2/3)</f>
        <v>1137546.1660993141</v>
      </c>
      <c r="Y251" s="417"/>
      <c r="Z251" s="417"/>
      <c r="AA251" s="417"/>
      <c r="AB251" s="417">
        <f>+M251*'Parametros Generales'!$C$6*'Parametros Generales'!$J$9</f>
        <v>3895272.7272727285</v>
      </c>
      <c r="AC251" s="417">
        <f>+H251*'Parametros Generales'!$J$10*'Parametros Generales'!$C$6*'Parametros Generales'!$C$11</f>
        <v>14738498.767401624</v>
      </c>
      <c r="AD251" s="417"/>
      <c r="AE251" s="417"/>
      <c r="AF251" s="417"/>
      <c r="AG251" s="417"/>
      <c r="AH251" s="417"/>
      <c r="AI251" s="417"/>
      <c r="AJ251" s="417"/>
      <c r="AK251" s="436"/>
      <c r="AL251" s="822"/>
    </row>
    <row r="252" spans="1:38" s="33" customFormat="1" hidden="1" outlineLevel="1">
      <c r="A252" s="1150"/>
      <c r="B252" s="821">
        <v>15</v>
      </c>
      <c r="C252" s="371" t="s">
        <v>2319</v>
      </c>
      <c r="D252" s="31">
        <f>+VLOOKUP(E252,Codigos!$A$1:$B$1123,2,0)</f>
        <v>15244</v>
      </c>
      <c r="E252" s="1112" t="s">
        <v>1753</v>
      </c>
      <c r="F252" s="1103">
        <v>1</v>
      </c>
      <c r="G252" s="30">
        <v>200</v>
      </c>
      <c r="H252" s="1061">
        <f>CEILING(G252,'Parametros Generales'!$C$8)</f>
        <v>200</v>
      </c>
      <c r="I252" s="1057" t="s">
        <v>195</v>
      </c>
      <c r="J252" s="1058">
        <v>200</v>
      </c>
      <c r="K252" s="1070" t="str">
        <f t="shared" si="17"/>
        <v>Ok</v>
      </c>
      <c r="L252" s="1077">
        <f t="shared" si="18"/>
        <v>0</v>
      </c>
      <c r="M252" s="1090">
        <f>+H252/'Parametros Generales'!$C$8</f>
        <v>8</v>
      </c>
      <c r="N252" s="1097"/>
      <c r="O252" s="1097"/>
      <c r="P252" s="1097"/>
      <c r="Q252" s="1097"/>
      <c r="R252" s="1097">
        <f>+(M252/'Parametros Generales'!$C$9)</f>
        <v>2</v>
      </c>
      <c r="S252" s="390"/>
      <c r="T252" s="390"/>
      <c r="U252" s="390"/>
      <c r="V252" s="389"/>
      <c r="W252" s="32">
        <f>+R252*'Componentes T.H.'!$Q$9*'Parametros Generales'!$C$6</f>
        <v>10037014.142000001</v>
      </c>
      <c r="X252" s="32">
        <f>(+VLOOKUP(C252,'Transporte y Viaticos'!$B$87:$L$120,2,0)*'Parametros Generales'!$C$7*R252)*(2/3)</f>
        <v>1137546.1660993141</v>
      </c>
      <c r="Y252" s="417"/>
      <c r="Z252" s="417"/>
      <c r="AA252" s="417"/>
      <c r="AB252" s="417">
        <f>+M252*'Parametros Generales'!$C$6*'Parametros Generales'!$J$9</f>
        <v>3895272.7272727285</v>
      </c>
      <c r="AC252" s="417">
        <f>+H252*'Parametros Generales'!$J$10*'Parametros Generales'!$C$6*'Parametros Generales'!$C$11</f>
        <v>14738498.767401624</v>
      </c>
      <c r="AD252" s="417"/>
      <c r="AE252" s="417"/>
      <c r="AF252" s="417"/>
      <c r="AG252" s="417"/>
      <c r="AH252" s="417"/>
      <c r="AI252" s="417"/>
      <c r="AJ252" s="417"/>
      <c r="AK252" s="436"/>
      <c r="AL252" s="822"/>
    </row>
    <row r="253" spans="1:38" s="33" customFormat="1" hidden="1" outlineLevel="1">
      <c r="A253" s="1150"/>
      <c r="B253" s="821">
        <v>15</v>
      </c>
      <c r="C253" s="371" t="s">
        <v>2319</v>
      </c>
      <c r="D253" s="31">
        <f>+VLOOKUP(E253,Codigos!$A$1:$B$1123,2,0)</f>
        <v>15248</v>
      </c>
      <c r="E253" s="1112" t="s">
        <v>1754</v>
      </c>
      <c r="F253" s="1103">
        <v>1</v>
      </c>
      <c r="G253" s="30">
        <v>125</v>
      </c>
      <c r="H253" s="1061">
        <f>CEILING((G253+25),'Parametros Generales'!$C$8)</f>
        <v>150</v>
      </c>
      <c r="I253" s="1057" t="s">
        <v>196</v>
      </c>
      <c r="J253" s="1058">
        <v>150</v>
      </c>
      <c r="K253" s="1070" t="str">
        <f t="shared" si="17"/>
        <v>Ok</v>
      </c>
      <c r="L253" s="1077">
        <f t="shared" si="18"/>
        <v>0</v>
      </c>
      <c r="M253" s="1090">
        <f>+H253/'Parametros Generales'!$C$8</f>
        <v>6</v>
      </c>
      <c r="N253" s="1097"/>
      <c r="O253" s="1097"/>
      <c r="P253" s="1097"/>
      <c r="Q253" s="1097"/>
      <c r="R253" s="1097">
        <f>+(M253/'Parametros Generales'!$C$9)</f>
        <v>1.5</v>
      </c>
      <c r="S253" s="390"/>
      <c r="T253" s="390"/>
      <c r="U253" s="390"/>
      <c r="V253" s="389"/>
      <c r="W253" s="32">
        <f>+R253*'Componentes T.H.'!$Q$9*'Parametros Generales'!$C$6</f>
        <v>7527760.6064999998</v>
      </c>
      <c r="X253" s="32">
        <f>(+VLOOKUP(C253,'Transporte y Viaticos'!$B$87:$L$120,2,0)*'Parametros Generales'!$C$7*R253)*(2/3)</f>
        <v>853159.6245744857</v>
      </c>
      <c r="Y253" s="417"/>
      <c r="Z253" s="417"/>
      <c r="AA253" s="417"/>
      <c r="AB253" s="417">
        <f>+M253*'Parametros Generales'!$C$6*'Parametros Generales'!$J$9</f>
        <v>2921454.5454545463</v>
      </c>
      <c r="AC253" s="417">
        <f>+H253*'Parametros Generales'!$J$10*'Parametros Generales'!$C$6*'Parametros Generales'!$C$11</f>
        <v>11053874.075551221</v>
      </c>
      <c r="AD253" s="417"/>
      <c r="AE253" s="417"/>
      <c r="AF253" s="417"/>
      <c r="AG253" s="417"/>
      <c r="AH253" s="417"/>
      <c r="AI253" s="417"/>
      <c r="AJ253" s="417"/>
      <c r="AK253" s="436"/>
      <c r="AL253" s="822"/>
    </row>
    <row r="254" spans="1:38" s="33" customFormat="1" hidden="1" outlineLevel="1">
      <c r="A254" s="1150"/>
      <c r="B254" s="821">
        <v>15</v>
      </c>
      <c r="C254" s="371" t="s">
        <v>2319</v>
      </c>
      <c r="D254" s="31">
        <f>+VLOOKUP(E254,Codigos!$A$1:$B$1123,2,0)</f>
        <v>15272</v>
      </c>
      <c r="E254" s="1112" t="s">
        <v>1755</v>
      </c>
      <c r="F254" s="1103">
        <v>1</v>
      </c>
      <c r="G254" s="30">
        <v>100</v>
      </c>
      <c r="H254" s="1061">
        <f>CEILING(G254,'Parametros Generales'!$C$8)</f>
        <v>100</v>
      </c>
      <c r="I254" s="1057" t="s">
        <v>197</v>
      </c>
      <c r="J254" s="1058">
        <v>100</v>
      </c>
      <c r="K254" s="1070" t="str">
        <f t="shared" si="17"/>
        <v>Ok</v>
      </c>
      <c r="L254" s="1077">
        <f t="shared" si="18"/>
        <v>0</v>
      </c>
      <c r="M254" s="1090">
        <f>+H254/'Parametros Generales'!$C$8</f>
        <v>4</v>
      </c>
      <c r="N254" s="1097"/>
      <c r="O254" s="1097"/>
      <c r="P254" s="1097"/>
      <c r="Q254" s="1097"/>
      <c r="R254" s="1097">
        <f>+(M254/'Parametros Generales'!$C$9)</f>
        <v>1</v>
      </c>
      <c r="S254" s="390"/>
      <c r="T254" s="390"/>
      <c r="U254" s="390"/>
      <c r="V254" s="389"/>
      <c r="W254" s="32">
        <f>+R254*'Componentes T.H.'!$Q$9*'Parametros Generales'!$C$6</f>
        <v>5018507.0710000005</v>
      </c>
      <c r="X254" s="32">
        <f>(+VLOOKUP(C254,'Transporte y Viaticos'!$B$87:$L$120,2,0)*'Parametros Generales'!$C$7*R254)*(2/3)</f>
        <v>568773.08304965706</v>
      </c>
      <c r="Y254" s="417"/>
      <c r="Z254" s="417"/>
      <c r="AA254" s="417"/>
      <c r="AB254" s="417">
        <f>+M254*'Parametros Generales'!$C$6*'Parametros Generales'!$J$9</f>
        <v>1947636.3636363642</v>
      </c>
      <c r="AC254" s="417">
        <f>+H254*'Parametros Generales'!$J$10*'Parametros Generales'!$C$6*'Parametros Generales'!$C$11</f>
        <v>7369249.3837008122</v>
      </c>
      <c r="AD254" s="417"/>
      <c r="AE254" s="417"/>
      <c r="AF254" s="417"/>
      <c r="AG254" s="417"/>
      <c r="AH254" s="417"/>
      <c r="AI254" s="417"/>
      <c r="AJ254" s="417"/>
      <c r="AK254" s="436"/>
      <c r="AL254" s="822"/>
    </row>
    <row r="255" spans="1:38" s="33" customFormat="1" hidden="1" outlineLevel="1">
      <c r="A255" s="1150"/>
      <c r="B255" s="821">
        <v>15</v>
      </c>
      <c r="C255" s="371" t="s">
        <v>2319</v>
      </c>
      <c r="D255" s="31">
        <f>+VLOOKUP(E255,Codigos!$A$1:$B$1123,2,0)</f>
        <v>15276</v>
      </c>
      <c r="E255" s="1111" t="s">
        <v>1756</v>
      </c>
      <c r="F255" s="1103">
        <v>1</v>
      </c>
      <c r="G255" s="30">
        <v>125</v>
      </c>
      <c r="H255" s="1061">
        <f>CEILING((G255+25),'Parametros Generales'!$C$8)</f>
        <v>150</v>
      </c>
      <c r="I255" s="1057" t="s">
        <v>198</v>
      </c>
      <c r="J255" s="1058">
        <v>150</v>
      </c>
      <c r="K255" s="1070" t="str">
        <f t="shared" si="17"/>
        <v>Ok</v>
      </c>
      <c r="L255" s="1077">
        <f t="shared" si="18"/>
        <v>0</v>
      </c>
      <c r="M255" s="1090">
        <f>+H255/'Parametros Generales'!$C$8</f>
        <v>6</v>
      </c>
      <c r="N255" s="1097"/>
      <c r="O255" s="1097"/>
      <c r="P255" s="1097"/>
      <c r="Q255" s="1097"/>
      <c r="R255" s="1097">
        <f>+(M255/'Parametros Generales'!$C$9)</f>
        <v>1.5</v>
      </c>
      <c r="S255" s="390"/>
      <c r="T255" s="390"/>
      <c r="U255" s="390"/>
      <c r="V255" s="389"/>
      <c r="W255" s="32">
        <f>+R255*'Componentes T.H.'!$Q$9*'Parametros Generales'!$C$6</f>
        <v>7527760.6064999998</v>
      </c>
      <c r="X255" s="32">
        <f>(+VLOOKUP(C255,'Transporte y Viaticos'!$B$87:$L$120,2,0)*'Parametros Generales'!$C$7*R255)*(2/3)</f>
        <v>853159.6245744857</v>
      </c>
      <c r="Y255" s="417"/>
      <c r="Z255" s="417"/>
      <c r="AA255" s="417"/>
      <c r="AB255" s="417">
        <f>+M255*'Parametros Generales'!$C$6*'Parametros Generales'!$J$9</f>
        <v>2921454.5454545463</v>
      </c>
      <c r="AC255" s="417">
        <f>+H255*'Parametros Generales'!$J$10*'Parametros Generales'!$C$6*'Parametros Generales'!$C$11</f>
        <v>11053874.075551221</v>
      </c>
      <c r="AD255" s="417"/>
      <c r="AE255" s="417"/>
      <c r="AF255" s="417"/>
      <c r="AG255" s="417"/>
      <c r="AH255" s="417"/>
      <c r="AI255" s="417"/>
      <c r="AJ255" s="417"/>
      <c r="AK255" s="436"/>
      <c r="AL255" s="822"/>
    </row>
    <row r="256" spans="1:38" s="33" customFormat="1" hidden="1" outlineLevel="1">
      <c r="A256" s="1150"/>
      <c r="B256" s="821">
        <v>15</v>
      </c>
      <c r="C256" s="371" t="s">
        <v>2319</v>
      </c>
      <c r="D256" s="31">
        <f>+VLOOKUP(E256,Codigos!$A$1:$B$1123,2,0)</f>
        <v>15293</v>
      </c>
      <c r="E256" s="1111" t="s">
        <v>1757</v>
      </c>
      <c r="F256" s="1103">
        <v>1</v>
      </c>
      <c r="G256" s="30">
        <v>100</v>
      </c>
      <c r="H256" s="1061">
        <f>CEILING(G256,'Parametros Generales'!$C$8)</f>
        <v>100</v>
      </c>
      <c r="I256" s="1057" t="s">
        <v>199</v>
      </c>
      <c r="J256" s="1058">
        <v>100</v>
      </c>
      <c r="K256" s="1070" t="str">
        <f t="shared" si="17"/>
        <v>Ok</v>
      </c>
      <c r="L256" s="1077">
        <f t="shared" si="18"/>
        <v>0</v>
      </c>
      <c r="M256" s="1090">
        <f>+H256/'Parametros Generales'!$C$8</f>
        <v>4</v>
      </c>
      <c r="N256" s="1097"/>
      <c r="O256" s="1097"/>
      <c r="P256" s="1097"/>
      <c r="Q256" s="1097"/>
      <c r="R256" s="1097">
        <f>+(M256/'Parametros Generales'!$C$9)</f>
        <v>1</v>
      </c>
      <c r="S256" s="390"/>
      <c r="T256" s="390"/>
      <c r="U256" s="390"/>
      <c r="V256" s="389"/>
      <c r="W256" s="32">
        <f>+R256*'Componentes T.H.'!$Q$9*'Parametros Generales'!$C$6</f>
        <v>5018507.0710000005</v>
      </c>
      <c r="X256" s="32">
        <f>(+VLOOKUP(C256,'Transporte y Viaticos'!$B$87:$L$120,2,0)*'Parametros Generales'!$C$7*R256)*(2/3)</f>
        <v>568773.08304965706</v>
      </c>
      <c r="Y256" s="417"/>
      <c r="Z256" s="417"/>
      <c r="AA256" s="417"/>
      <c r="AB256" s="417">
        <f>+M256*'Parametros Generales'!$C$6*'Parametros Generales'!$J$9</f>
        <v>1947636.3636363642</v>
      </c>
      <c r="AC256" s="417">
        <f>+H256*'Parametros Generales'!$J$10*'Parametros Generales'!$C$6*'Parametros Generales'!$C$11</f>
        <v>7369249.3837008122</v>
      </c>
      <c r="AD256" s="417"/>
      <c r="AE256" s="417"/>
      <c r="AF256" s="417"/>
      <c r="AG256" s="417"/>
      <c r="AH256" s="417"/>
      <c r="AI256" s="417"/>
      <c r="AJ256" s="417"/>
      <c r="AK256" s="436"/>
      <c r="AL256" s="822"/>
    </row>
    <row r="257" spans="1:38" s="33" customFormat="1" hidden="1" outlineLevel="1">
      <c r="A257" s="1150"/>
      <c r="B257" s="821">
        <v>15</v>
      </c>
      <c r="C257" s="371" t="s">
        <v>2319</v>
      </c>
      <c r="D257" s="31">
        <f>+VLOOKUP(E257,Codigos!$A$1:$B$1123,2,0)</f>
        <v>15296</v>
      </c>
      <c r="E257" s="1111" t="s">
        <v>1758</v>
      </c>
      <c r="F257" s="1103">
        <v>1</v>
      </c>
      <c r="G257" s="30">
        <v>125</v>
      </c>
      <c r="H257" s="1061">
        <f>CEILING((G257+25),'Parametros Generales'!$C$8)</f>
        <v>150</v>
      </c>
      <c r="I257" s="1057" t="s">
        <v>200</v>
      </c>
      <c r="J257" s="1058">
        <v>150</v>
      </c>
      <c r="K257" s="1070" t="str">
        <f t="shared" si="17"/>
        <v>Ok</v>
      </c>
      <c r="L257" s="1077">
        <f t="shared" si="18"/>
        <v>0</v>
      </c>
      <c r="M257" s="1090">
        <f>+H257/'Parametros Generales'!$C$8</f>
        <v>6</v>
      </c>
      <c r="N257" s="1097"/>
      <c r="O257" s="1097"/>
      <c r="P257" s="1097"/>
      <c r="Q257" s="1097"/>
      <c r="R257" s="1097">
        <f>+(M257/'Parametros Generales'!$C$9)</f>
        <v>1.5</v>
      </c>
      <c r="S257" s="390"/>
      <c r="T257" s="390"/>
      <c r="U257" s="390"/>
      <c r="V257" s="389"/>
      <c r="W257" s="32">
        <f>+R257*'Componentes T.H.'!$Q$9*'Parametros Generales'!$C$6</f>
        <v>7527760.6064999998</v>
      </c>
      <c r="X257" s="32">
        <f>(+VLOOKUP(C257,'Transporte y Viaticos'!$B$87:$L$120,2,0)*'Parametros Generales'!$C$7*R257)*(2/3)</f>
        <v>853159.6245744857</v>
      </c>
      <c r="Y257" s="417"/>
      <c r="Z257" s="417"/>
      <c r="AA257" s="417"/>
      <c r="AB257" s="417">
        <f>+M257*'Parametros Generales'!$C$6*'Parametros Generales'!$J$9</f>
        <v>2921454.5454545463</v>
      </c>
      <c r="AC257" s="417">
        <f>+H257*'Parametros Generales'!$J$10*'Parametros Generales'!$C$6*'Parametros Generales'!$C$11</f>
        <v>11053874.075551221</v>
      </c>
      <c r="AD257" s="417"/>
      <c r="AE257" s="417"/>
      <c r="AF257" s="417"/>
      <c r="AG257" s="417"/>
      <c r="AH257" s="417"/>
      <c r="AI257" s="417"/>
      <c r="AJ257" s="417"/>
      <c r="AK257" s="436"/>
      <c r="AL257" s="822"/>
    </row>
    <row r="258" spans="1:38" s="33" customFormat="1" hidden="1" outlineLevel="1">
      <c r="A258" s="1150"/>
      <c r="B258" s="821">
        <v>15</v>
      </c>
      <c r="C258" s="371" t="s">
        <v>2319</v>
      </c>
      <c r="D258" s="31">
        <f>+VLOOKUP(E258,Codigos!$A$1:$B$1123,2,0)</f>
        <v>15299</v>
      </c>
      <c r="E258" s="1111" t="s">
        <v>1759</v>
      </c>
      <c r="F258" s="1103">
        <v>1</v>
      </c>
      <c r="G258" s="30">
        <v>200</v>
      </c>
      <c r="H258" s="1061">
        <f>CEILING(G258,'Parametros Generales'!$C$8)</f>
        <v>200</v>
      </c>
      <c r="I258" s="1057" t="s">
        <v>201</v>
      </c>
      <c r="J258" s="1058">
        <v>200</v>
      </c>
      <c r="K258" s="1070" t="str">
        <f t="shared" ref="K258:K321" si="22">+IF(I258=E258,"Ok","Rev")</f>
        <v>Ok</v>
      </c>
      <c r="L258" s="1077">
        <f t="shared" ref="L258:L321" si="23">+J258-H258</f>
        <v>0</v>
      </c>
      <c r="M258" s="1090">
        <f>+H258/'Parametros Generales'!$C$8</f>
        <v>8</v>
      </c>
      <c r="N258" s="1097"/>
      <c r="O258" s="1097"/>
      <c r="P258" s="1097"/>
      <c r="Q258" s="1097"/>
      <c r="R258" s="1097">
        <f>+(M258/'Parametros Generales'!$C$9)</f>
        <v>2</v>
      </c>
      <c r="S258" s="390"/>
      <c r="T258" s="390"/>
      <c r="U258" s="390"/>
      <c r="V258" s="389"/>
      <c r="W258" s="32">
        <f>+R258*'Componentes T.H.'!$Q$9*'Parametros Generales'!$C$6</f>
        <v>10037014.142000001</v>
      </c>
      <c r="X258" s="32">
        <f>(+VLOOKUP(C258,'Transporte y Viaticos'!$B$87:$L$120,2,0)*'Parametros Generales'!$C$7*R258)*(2/3)</f>
        <v>1137546.1660993141</v>
      </c>
      <c r="Y258" s="417"/>
      <c r="Z258" s="417"/>
      <c r="AA258" s="417"/>
      <c r="AB258" s="417">
        <f>+M258*'Parametros Generales'!$C$6*'Parametros Generales'!$J$9</f>
        <v>3895272.7272727285</v>
      </c>
      <c r="AC258" s="417">
        <f>+H258*'Parametros Generales'!$J$10*'Parametros Generales'!$C$6*'Parametros Generales'!$C$11</f>
        <v>14738498.767401624</v>
      </c>
      <c r="AD258" s="417"/>
      <c r="AE258" s="417"/>
      <c r="AF258" s="417"/>
      <c r="AG258" s="417"/>
      <c r="AH258" s="417"/>
      <c r="AI258" s="417"/>
      <c r="AJ258" s="417"/>
      <c r="AK258" s="436"/>
      <c r="AL258" s="822"/>
    </row>
    <row r="259" spans="1:38" s="33" customFormat="1" hidden="1" outlineLevel="1">
      <c r="A259" s="1150"/>
      <c r="B259" s="821">
        <v>15</v>
      </c>
      <c r="C259" s="371" t="s">
        <v>2319</v>
      </c>
      <c r="D259" s="31">
        <f>+VLOOKUP(E259,Codigos!$A$1:$B$1123,2,0)</f>
        <v>15322</v>
      </c>
      <c r="E259" s="1111" t="s">
        <v>1760</v>
      </c>
      <c r="F259" s="1103">
        <v>1</v>
      </c>
      <c r="G259" s="30">
        <v>200</v>
      </c>
      <c r="H259" s="1061">
        <f>CEILING(G259,'Parametros Generales'!$C$8)</f>
        <v>200</v>
      </c>
      <c r="I259" s="1057" t="s">
        <v>202</v>
      </c>
      <c r="J259" s="1058">
        <v>200</v>
      </c>
      <c r="K259" s="1070" t="str">
        <f t="shared" si="22"/>
        <v>Ok</v>
      </c>
      <c r="L259" s="1077">
        <f t="shared" si="23"/>
        <v>0</v>
      </c>
      <c r="M259" s="1090">
        <f>+H259/'Parametros Generales'!$C$8</f>
        <v>8</v>
      </c>
      <c r="N259" s="1097"/>
      <c r="O259" s="1097"/>
      <c r="P259" s="1097"/>
      <c r="Q259" s="1097"/>
      <c r="R259" s="1097">
        <f>+(M259/'Parametros Generales'!$C$9)</f>
        <v>2</v>
      </c>
      <c r="S259" s="390"/>
      <c r="T259" s="390"/>
      <c r="U259" s="390"/>
      <c r="V259" s="389"/>
      <c r="W259" s="32">
        <f>+R259*'Componentes T.H.'!$Q$9*'Parametros Generales'!$C$6</f>
        <v>10037014.142000001</v>
      </c>
      <c r="X259" s="32">
        <f>(+VLOOKUP(C259,'Transporte y Viaticos'!$B$87:$L$120,2,0)*'Parametros Generales'!$C$7*R259)*(2/3)</f>
        <v>1137546.1660993141</v>
      </c>
      <c r="Y259" s="417"/>
      <c r="Z259" s="417"/>
      <c r="AA259" s="417"/>
      <c r="AB259" s="417">
        <f>+M259*'Parametros Generales'!$C$6*'Parametros Generales'!$J$9</f>
        <v>3895272.7272727285</v>
      </c>
      <c r="AC259" s="417">
        <f>+H259*'Parametros Generales'!$J$10*'Parametros Generales'!$C$6*'Parametros Generales'!$C$11</f>
        <v>14738498.767401624</v>
      </c>
      <c r="AD259" s="417"/>
      <c r="AE259" s="417"/>
      <c r="AF259" s="417"/>
      <c r="AG259" s="417"/>
      <c r="AH259" s="417"/>
      <c r="AI259" s="417"/>
      <c r="AJ259" s="417"/>
      <c r="AK259" s="436"/>
      <c r="AL259" s="822"/>
    </row>
    <row r="260" spans="1:38" s="33" customFormat="1" hidden="1" outlineLevel="1">
      <c r="A260" s="1150"/>
      <c r="B260" s="821">
        <v>15</v>
      </c>
      <c r="C260" s="371" t="s">
        <v>2319</v>
      </c>
      <c r="D260" s="31">
        <f>+VLOOKUP(E260,Codigos!$A$1:$B$1123,2,0)</f>
        <v>15332</v>
      </c>
      <c r="E260" s="1111" t="s">
        <v>1761</v>
      </c>
      <c r="F260" s="1103">
        <v>1</v>
      </c>
      <c r="G260" s="30">
        <v>50</v>
      </c>
      <c r="H260" s="1061">
        <f>CEILING(G260,'Parametros Generales'!$C$8)</f>
        <v>50</v>
      </c>
      <c r="I260" s="1057" t="s">
        <v>846</v>
      </c>
      <c r="J260" s="1058">
        <v>50</v>
      </c>
      <c r="K260" s="1070" t="str">
        <f t="shared" si="22"/>
        <v>Ok</v>
      </c>
      <c r="L260" s="1077">
        <f t="shared" si="23"/>
        <v>0</v>
      </c>
      <c r="M260" s="1090">
        <f>+H260/'Parametros Generales'!$C$8</f>
        <v>2</v>
      </c>
      <c r="N260" s="1097"/>
      <c r="O260" s="1097"/>
      <c r="P260" s="1097"/>
      <c r="Q260" s="1097"/>
      <c r="R260" s="1097">
        <f>+(M260/'Parametros Generales'!$C$9)</f>
        <v>0.5</v>
      </c>
      <c r="S260" s="390"/>
      <c r="T260" s="390"/>
      <c r="U260" s="390"/>
      <c r="V260" s="389"/>
      <c r="W260" s="32">
        <f>+R260*'Componentes T.H.'!$Q$9*'Parametros Generales'!$C$6</f>
        <v>2509253.5355000002</v>
      </c>
      <c r="X260" s="32">
        <f>(+VLOOKUP(C260,'Transporte y Viaticos'!$B$87:$L$120,2,0)*'Parametros Generales'!$C$7*R260)*(2/3)</f>
        <v>284386.54152482853</v>
      </c>
      <c r="Y260" s="417"/>
      <c r="Z260" s="417"/>
      <c r="AA260" s="417"/>
      <c r="AB260" s="417">
        <f>+M260*'Parametros Generales'!$C$6*'Parametros Generales'!$J$9</f>
        <v>973818.18181818211</v>
      </c>
      <c r="AC260" s="417">
        <f>+H260*'Parametros Generales'!$J$10*'Parametros Generales'!$C$6*'Parametros Generales'!$C$11</f>
        <v>3684624.6918504061</v>
      </c>
      <c r="AD260" s="417"/>
      <c r="AE260" s="417"/>
      <c r="AF260" s="417"/>
      <c r="AG260" s="417"/>
      <c r="AH260" s="417"/>
      <c r="AI260" s="417"/>
      <c r="AJ260" s="417"/>
      <c r="AK260" s="436"/>
      <c r="AL260" s="822"/>
    </row>
    <row r="261" spans="1:38" s="33" customFormat="1" hidden="1" outlineLevel="1">
      <c r="A261" s="1150"/>
      <c r="B261" s="821">
        <v>15</v>
      </c>
      <c r="C261" s="371" t="s">
        <v>2319</v>
      </c>
      <c r="D261" s="31">
        <f>+VLOOKUP(E261,Codigos!$A$1:$B$1123,2,0)</f>
        <v>15368</v>
      </c>
      <c r="E261" s="1111" t="s">
        <v>1762</v>
      </c>
      <c r="F261" s="1103">
        <v>1</v>
      </c>
      <c r="G261" s="30">
        <v>50</v>
      </c>
      <c r="H261" s="1061">
        <f>CEILING(G261,'Parametros Generales'!$C$8)</f>
        <v>50</v>
      </c>
      <c r="I261" s="1057" t="s">
        <v>1361</v>
      </c>
      <c r="J261" s="1058">
        <v>50</v>
      </c>
      <c r="K261" s="1070" t="str">
        <f t="shared" si="22"/>
        <v>Ok</v>
      </c>
      <c r="L261" s="1077">
        <f t="shared" si="23"/>
        <v>0</v>
      </c>
      <c r="M261" s="1090">
        <f>+H261/'Parametros Generales'!$C$8</f>
        <v>2</v>
      </c>
      <c r="N261" s="1097"/>
      <c r="O261" s="1097"/>
      <c r="P261" s="1097"/>
      <c r="Q261" s="1097"/>
      <c r="R261" s="1097">
        <f>+(M261/'Parametros Generales'!$C$9)</f>
        <v>0.5</v>
      </c>
      <c r="S261" s="390"/>
      <c r="T261" s="390"/>
      <c r="U261" s="390"/>
      <c r="V261" s="389"/>
      <c r="W261" s="32">
        <f>+R261*'Componentes T.H.'!$Q$9*'Parametros Generales'!$C$6</f>
        <v>2509253.5355000002</v>
      </c>
      <c r="X261" s="32">
        <f>(+VLOOKUP(C261,'Transporte y Viaticos'!$B$87:$L$120,2,0)*'Parametros Generales'!$C$7*R261)*(2/3)</f>
        <v>284386.54152482853</v>
      </c>
      <c r="Y261" s="417"/>
      <c r="Z261" s="417"/>
      <c r="AA261" s="417"/>
      <c r="AB261" s="417">
        <f>+M261*'Parametros Generales'!$C$6*'Parametros Generales'!$J$9</f>
        <v>973818.18181818211</v>
      </c>
      <c r="AC261" s="417">
        <f>+H261*'Parametros Generales'!$J$10*'Parametros Generales'!$C$6*'Parametros Generales'!$C$11</f>
        <v>3684624.6918504061</v>
      </c>
      <c r="AD261" s="417"/>
      <c r="AE261" s="417"/>
      <c r="AF261" s="417"/>
      <c r="AG261" s="417"/>
      <c r="AH261" s="417"/>
      <c r="AI261" s="417"/>
      <c r="AJ261" s="417"/>
      <c r="AK261" s="436"/>
      <c r="AL261" s="822"/>
    </row>
    <row r="262" spans="1:38" s="33" customFormat="1" hidden="1" outlineLevel="1">
      <c r="A262" s="1150"/>
      <c r="B262" s="821">
        <v>15</v>
      </c>
      <c r="C262" s="371" t="s">
        <v>2319</v>
      </c>
      <c r="D262" s="31">
        <f>+VLOOKUP(E262,Codigos!$A$1:$B$1123,2,0)</f>
        <v>15425</v>
      </c>
      <c r="E262" s="1111" t="s">
        <v>1763</v>
      </c>
      <c r="F262" s="1103">
        <v>1</v>
      </c>
      <c r="G262" s="30">
        <v>75</v>
      </c>
      <c r="H262" s="1061">
        <f>CEILING((G262+25),'Parametros Generales'!$C$8)</f>
        <v>100</v>
      </c>
      <c r="I262" s="1057" t="s">
        <v>853</v>
      </c>
      <c r="J262" s="1058">
        <v>100</v>
      </c>
      <c r="K262" s="1070" t="str">
        <f t="shared" si="22"/>
        <v>Ok</v>
      </c>
      <c r="L262" s="1077">
        <f t="shared" si="23"/>
        <v>0</v>
      </c>
      <c r="M262" s="1090">
        <f>+H262/'Parametros Generales'!$C$8</f>
        <v>4</v>
      </c>
      <c r="N262" s="1097"/>
      <c r="O262" s="1097"/>
      <c r="P262" s="1097"/>
      <c r="Q262" s="1097"/>
      <c r="R262" s="1097">
        <f>+(M262/'Parametros Generales'!$C$9)</f>
        <v>1</v>
      </c>
      <c r="S262" s="390"/>
      <c r="T262" s="390"/>
      <c r="U262" s="390"/>
      <c r="V262" s="389"/>
      <c r="W262" s="32">
        <f>+R262*'Componentes T.H.'!$Q$9*'Parametros Generales'!$C$6</f>
        <v>5018507.0710000005</v>
      </c>
      <c r="X262" s="32">
        <f>(+VLOOKUP(C262,'Transporte y Viaticos'!$B$87:$L$120,2,0)*'Parametros Generales'!$C$7*R262)*(2/3)</f>
        <v>568773.08304965706</v>
      </c>
      <c r="Y262" s="417"/>
      <c r="Z262" s="417"/>
      <c r="AA262" s="417"/>
      <c r="AB262" s="417">
        <f>+M262*'Parametros Generales'!$C$6*'Parametros Generales'!$J$9</f>
        <v>1947636.3636363642</v>
      </c>
      <c r="AC262" s="417">
        <f>+H262*'Parametros Generales'!$J$10*'Parametros Generales'!$C$6*'Parametros Generales'!$C$11</f>
        <v>7369249.3837008122</v>
      </c>
      <c r="AD262" s="417"/>
      <c r="AE262" s="417"/>
      <c r="AF262" s="417"/>
      <c r="AG262" s="417"/>
      <c r="AH262" s="417"/>
      <c r="AI262" s="417"/>
      <c r="AJ262" s="417"/>
      <c r="AK262" s="436"/>
      <c r="AL262" s="822"/>
    </row>
    <row r="263" spans="1:38" s="33" customFormat="1" hidden="1" outlineLevel="1">
      <c r="A263" s="1150"/>
      <c r="B263" s="821">
        <v>15</v>
      </c>
      <c r="C263" s="371" t="s">
        <v>2319</v>
      </c>
      <c r="D263" s="31">
        <f>+VLOOKUP(E263,Codigos!$A$1:$B$1123,2,0)</f>
        <v>15442</v>
      </c>
      <c r="E263" s="1111" t="s">
        <v>1764</v>
      </c>
      <c r="F263" s="1103">
        <v>1</v>
      </c>
      <c r="G263" s="30">
        <v>75</v>
      </c>
      <c r="H263" s="1061">
        <f>CEILING((G263+25),'Parametros Generales'!$C$8)</f>
        <v>100</v>
      </c>
      <c r="I263" s="1057" t="s">
        <v>854</v>
      </c>
      <c r="J263" s="1058">
        <v>100</v>
      </c>
      <c r="K263" s="1070" t="str">
        <f t="shared" si="22"/>
        <v>Ok</v>
      </c>
      <c r="L263" s="1077">
        <f t="shared" si="23"/>
        <v>0</v>
      </c>
      <c r="M263" s="1090">
        <f>+H263/'Parametros Generales'!$C$8</f>
        <v>4</v>
      </c>
      <c r="N263" s="1097"/>
      <c r="O263" s="1097"/>
      <c r="P263" s="1097"/>
      <c r="Q263" s="1097"/>
      <c r="R263" s="1097">
        <f>+(M263/'Parametros Generales'!$C$9)</f>
        <v>1</v>
      </c>
      <c r="S263" s="390"/>
      <c r="T263" s="390"/>
      <c r="U263" s="390"/>
      <c r="V263" s="389"/>
      <c r="W263" s="32">
        <f>+R263*'Componentes T.H.'!$Q$9*'Parametros Generales'!$C$6</f>
        <v>5018507.0710000005</v>
      </c>
      <c r="X263" s="32">
        <f>(+VLOOKUP(C263,'Transporte y Viaticos'!$B$87:$L$120,2,0)*'Parametros Generales'!$C$7*R263)*(2/3)</f>
        <v>568773.08304965706</v>
      </c>
      <c r="Y263" s="417"/>
      <c r="Z263" s="417"/>
      <c r="AA263" s="417"/>
      <c r="AB263" s="417">
        <f>+M263*'Parametros Generales'!$C$6*'Parametros Generales'!$J$9</f>
        <v>1947636.3636363642</v>
      </c>
      <c r="AC263" s="417">
        <f>+H263*'Parametros Generales'!$J$10*'Parametros Generales'!$C$6*'Parametros Generales'!$C$11</f>
        <v>7369249.3837008122</v>
      </c>
      <c r="AD263" s="417"/>
      <c r="AE263" s="417"/>
      <c r="AF263" s="417"/>
      <c r="AG263" s="417"/>
      <c r="AH263" s="417"/>
      <c r="AI263" s="417"/>
      <c r="AJ263" s="417"/>
      <c r="AK263" s="436"/>
      <c r="AL263" s="822"/>
    </row>
    <row r="264" spans="1:38" s="33" customFormat="1" hidden="1" outlineLevel="1">
      <c r="A264" s="1150"/>
      <c r="B264" s="821">
        <v>15</v>
      </c>
      <c r="C264" s="371" t="s">
        <v>2319</v>
      </c>
      <c r="D264" s="31">
        <f>+VLOOKUP(E264,Codigos!$A$1:$B$1123,2,0)</f>
        <v>15455</v>
      </c>
      <c r="E264" s="1111" t="s">
        <v>1765</v>
      </c>
      <c r="F264" s="1103">
        <v>1</v>
      </c>
      <c r="G264" s="30">
        <v>50</v>
      </c>
      <c r="H264" s="1061">
        <f>CEILING((G264+50),'Parametros Generales'!$C$8)</f>
        <v>100</v>
      </c>
      <c r="I264" s="1057" t="s">
        <v>855</v>
      </c>
      <c r="J264" s="1058">
        <v>100</v>
      </c>
      <c r="K264" s="1070" t="str">
        <f t="shared" si="22"/>
        <v>Ok</v>
      </c>
      <c r="L264" s="1077">
        <f t="shared" si="23"/>
        <v>0</v>
      </c>
      <c r="M264" s="1090">
        <f>+H264/'Parametros Generales'!$C$8</f>
        <v>4</v>
      </c>
      <c r="N264" s="1097"/>
      <c r="O264" s="1097"/>
      <c r="P264" s="1097"/>
      <c r="Q264" s="1097"/>
      <c r="R264" s="1097">
        <f>+(M264/'Parametros Generales'!$C$9)</f>
        <v>1</v>
      </c>
      <c r="S264" s="390"/>
      <c r="T264" s="390"/>
      <c r="U264" s="390"/>
      <c r="V264" s="389"/>
      <c r="W264" s="32">
        <f>+R264*'Componentes T.H.'!$Q$9*'Parametros Generales'!$C$6</f>
        <v>5018507.0710000005</v>
      </c>
      <c r="X264" s="32">
        <f>(+VLOOKUP(C264,'Transporte y Viaticos'!$B$87:$L$120,2,0)*'Parametros Generales'!$C$7*R264)*(2/3)</f>
        <v>568773.08304965706</v>
      </c>
      <c r="Y264" s="417"/>
      <c r="Z264" s="417"/>
      <c r="AA264" s="417"/>
      <c r="AB264" s="417">
        <f>+M264*'Parametros Generales'!$C$6*'Parametros Generales'!$J$9</f>
        <v>1947636.3636363642</v>
      </c>
      <c r="AC264" s="417">
        <f>+H264*'Parametros Generales'!$J$10*'Parametros Generales'!$C$6*'Parametros Generales'!$C$11</f>
        <v>7369249.3837008122</v>
      </c>
      <c r="AD264" s="417"/>
      <c r="AE264" s="417"/>
      <c r="AF264" s="417"/>
      <c r="AG264" s="417"/>
      <c r="AH264" s="417"/>
      <c r="AI264" s="417"/>
      <c r="AJ264" s="417"/>
      <c r="AK264" s="436"/>
      <c r="AL264" s="822"/>
    </row>
    <row r="265" spans="1:38" s="33" customFormat="1" hidden="1" outlineLevel="1">
      <c r="A265" s="1150"/>
      <c r="B265" s="821">
        <v>15</v>
      </c>
      <c r="C265" s="371" t="s">
        <v>2319</v>
      </c>
      <c r="D265" s="31">
        <f>+VLOOKUP(E265,Codigos!$A$1:$B$1123,2,0)</f>
        <v>15466</v>
      </c>
      <c r="E265" s="1111" t="s">
        <v>1766</v>
      </c>
      <c r="F265" s="1103">
        <v>1</v>
      </c>
      <c r="G265" s="30">
        <v>100</v>
      </c>
      <c r="H265" s="1061">
        <f>CEILING(G265,'Parametros Generales'!$C$8)</f>
        <v>100</v>
      </c>
      <c r="I265" s="1057" t="s">
        <v>857</v>
      </c>
      <c r="J265" s="1058">
        <v>100</v>
      </c>
      <c r="K265" s="1070" t="str">
        <f t="shared" si="22"/>
        <v>Ok</v>
      </c>
      <c r="L265" s="1077">
        <f t="shared" si="23"/>
        <v>0</v>
      </c>
      <c r="M265" s="1090">
        <f>+H265/'Parametros Generales'!$C$8</f>
        <v>4</v>
      </c>
      <c r="N265" s="1097"/>
      <c r="O265" s="1097"/>
      <c r="P265" s="1097"/>
      <c r="Q265" s="1097"/>
      <c r="R265" s="1097">
        <f>+(M265/'Parametros Generales'!$C$9)</f>
        <v>1</v>
      </c>
      <c r="S265" s="390"/>
      <c r="T265" s="390"/>
      <c r="U265" s="390"/>
      <c r="V265" s="389"/>
      <c r="W265" s="32">
        <f>+R265*'Componentes T.H.'!$Q$9*'Parametros Generales'!$C$6</f>
        <v>5018507.0710000005</v>
      </c>
      <c r="X265" s="32">
        <f>(+VLOOKUP(C265,'Transporte y Viaticos'!$B$87:$L$120,2,0)*'Parametros Generales'!$C$7*R265)*(2/3)</f>
        <v>568773.08304965706</v>
      </c>
      <c r="Y265" s="417"/>
      <c r="Z265" s="417"/>
      <c r="AA265" s="417"/>
      <c r="AB265" s="417">
        <f>+M265*'Parametros Generales'!$C$6*'Parametros Generales'!$J$9</f>
        <v>1947636.3636363642</v>
      </c>
      <c r="AC265" s="417">
        <f>+H265*'Parametros Generales'!$J$10*'Parametros Generales'!$C$6*'Parametros Generales'!$C$11</f>
        <v>7369249.3837008122</v>
      </c>
      <c r="AD265" s="417"/>
      <c r="AE265" s="417"/>
      <c r="AF265" s="417"/>
      <c r="AG265" s="417"/>
      <c r="AH265" s="417"/>
      <c r="AI265" s="417"/>
      <c r="AJ265" s="417"/>
      <c r="AK265" s="436"/>
      <c r="AL265" s="822"/>
    </row>
    <row r="266" spans="1:38" s="33" customFormat="1" hidden="1" outlineLevel="1">
      <c r="A266" s="1150"/>
      <c r="B266" s="821">
        <v>15</v>
      </c>
      <c r="C266" s="371" t="s">
        <v>2319</v>
      </c>
      <c r="D266" s="31">
        <f>+VLOOKUP(E266,Codigos!$A$1:$B$1123,2,0)</f>
        <v>15469</v>
      </c>
      <c r="E266" s="1111" t="s">
        <v>1767</v>
      </c>
      <c r="F266" s="1103">
        <v>1</v>
      </c>
      <c r="G266" s="30">
        <v>200</v>
      </c>
      <c r="H266" s="1061">
        <f>CEILING(G266,'Parametros Generales'!$C$8)</f>
        <v>200</v>
      </c>
      <c r="I266" s="1057" t="s">
        <v>203</v>
      </c>
      <c r="J266" s="1058">
        <v>200</v>
      </c>
      <c r="K266" s="1070" t="str">
        <f t="shared" si="22"/>
        <v>Ok</v>
      </c>
      <c r="L266" s="1077">
        <f t="shared" si="23"/>
        <v>0</v>
      </c>
      <c r="M266" s="1090">
        <f>+H266/'Parametros Generales'!$C$8</f>
        <v>8</v>
      </c>
      <c r="N266" s="1097"/>
      <c r="O266" s="1097"/>
      <c r="P266" s="1097"/>
      <c r="Q266" s="1097"/>
      <c r="R266" s="1097">
        <f>+(M266/'Parametros Generales'!$C$9)</f>
        <v>2</v>
      </c>
      <c r="S266" s="390"/>
      <c r="T266" s="390"/>
      <c r="U266" s="390"/>
      <c r="V266" s="389"/>
      <c r="W266" s="32">
        <f>+R266*'Componentes T.H.'!$Q$9*'Parametros Generales'!$C$6</f>
        <v>10037014.142000001</v>
      </c>
      <c r="X266" s="32">
        <f>(+VLOOKUP(C266,'Transporte y Viaticos'!$B$87:$L$120,2,0)*'Parametros Generales'!$C$7*R266)*(2/3)</f>
        <v>1137546.1660993141</v>
      </c>
      <c r="Y266" s="417"/>
      <c r="Z266" s="417"/>
      <c r="AA266" s="417"/>
      <c r="AB266" s="417">
        <f>+M266*'Parametros Generales'!$C$6*'Parametros Generales'!$J$9</f>
        <v>3895272.7272727285</v>
      </c>
      <c r="AC266" s="417">
        <f>+H266*'Parametros Generales'!$J$10*'Parametros Generales'!$C$6*'Parametros Generales'!$C$11</f>
        <v>14738498.767401624</v>
      </c>
      <c r="AD266" s="417"/>
      <c r="AE266" s="417"/>
      <c r="AF266" s="417"/>
      <c r="AG266" s="417"/>
      <c r="AH266" s="417"/>
      <c r="AI266" s="417"/>
      <c r="AJ266" s="417"/>
      <c r="AK266" s="436"/>
      <c r="AL266" s="822"/>
    </row>
    <row r="267" spans="1:38" s="33" customFormat="1" hidden="1" outlineLevel="1">
      <c r="A267" s="1150"/>
      <c r="B267" s="821">
        <v>15</v>
      </c>
      <c r="C267" s="371" t="s">
        <v>2319</v>
      </c>
      <c r="D267" s="31">
        <f>+VLOOKUP(E267,Codigos!$A$1:$B$1123,2,0)</f>
        <v>15480</v>
      </c>
      <c r="E267" s="1111" t="s">
        <v>1768</v>
      </c>
      <c r="F267" s="1103">
        <v>1</v>
      </c>
      <c r="G267" s="30">
        <v>200</v>
      </c>
      <c r="H267" s="1061">
        <f>CEILING(G267,'Parametros Generales'!$C$8)</f>
        <v>200</v>
      </c>
      <c r="I267" s="1057" t="s">
        <v>204</v>
      </c>
      <c r="J267" s="1058">
        <v>200</v>
      </c>
      <c r="K267" s="1070" t="str">
        <f t="shared" si="22"/>
        <v>Ok</v>
      </c>
      <c r="L267" s="1077">
        <f t="shared" si="23"/>
        <v>0</v>
      </c>
      <c r="M267" s="1090">
        <f>+H267/'Parametros Generales'!$C$8</f>
        <v>8</v>
      </c>
      <c r="N267" s="1097"/>
      <c r="O267" s="1097"/>
      <c r="P267" s="1097"/>
      <c r="Q267" s="1097"/>
      <c r="R267" s="1097">
        <f>+(M267/'Parametros Generales'!$C$9)</f>
        <v>2</v>
      </c>
      <c r="S267" s="390"/>
      <c r="T267" s="390"/>
      <c r="U267" s="390"/>
      <c r="V267" s="389"/>
      <c r="W267" s="32">
        <f>+R267*'Componentes T.H.'!$Q$9*'Parametros Generales'!$C$6</f>
        <v>10037014.142000001</v>
      </c>
      <c r="X267" s="32">
        <f>(+VLOOKUP(C267,'Transporte y Viaticos'!$B$87:$L$120,2,0)*'Parametros Generales'!$C$7*R267)*(2/3)</f>
        <v>1137546.1660993141</v>
      </c>
      <c r="Y267" s="417"/>
      <c r="Z267" s="417"/>
      <c r="AA267" s="417"/>
      <c r="AB267" s="417">
        <f>+M267*'Parametros Generales'!$C$6*'Parametros Generales'!$J$9</f>
        <v>3895272.7272727285</v>
      </c>
      <c r="AC267" s="417">
        <f>+H267*'Parametros Generales'!$J$10*'Parametros Generales'!$C$6*'Parametros Generales'!$C$11</f>
        <v>14738498.767401624</v>
      </c>
      <c r="AD267" s="417"/>
      <c r="AE267" s="417"/>
      <c r="AF267" s="417"/>
      <c r="AG267" s="417"/>
      <c r="AH267" s="417"/>
      <c r="AI267" s="417"/>
      <c r="AJ267" s="417"/>
      <c r="AK267" s="436"/>
      <c r="AL267" s="822"/>
    </row>
    <row r="268" spans="1:38" s="33" customFormat="1" hidden="1" outlineLevel="1">
      <c r="A268" s="1150"/>
      <c r="B268" s="821">
        <v>15</v>
      </c>
      <c r="C268" s="371" t="s">
        <v>2319</v>
      </c>
      <c r="D268" s="31">
        <f>+VLOOKUP(E268,Codigos!$A$1:$B$1123,2,0)</f>
        <v>15500</v>
      </c>
      <c r="E268" s="1111" t="s">
        <v>1769</v>
      </c>
      <c r="F268" s="1103">
        <v>1</v>
      </c>
      <c r="G268" s="30">
        <v>50</v>
      </c>
      <c r="H268" s="1061">
        <f>CEILING(G268,'Parametros Generales'!$C$8)</f>
        <v>50</v>
      </c>
      <c r="I268" s="1057" t="s">
        <v>861</v>
      </c>
      <c r="J268" s="1058">
        <v>50</v>
      </c>
      <c r="K268" s="1070" t="str">
        <f t="shared" si="22"/>
        <v>Ok</v>
      </c>
      <c r="L268" s="1077">
        <f t="shared" si="23"/>
        <v>0</v>
      </c>
      <c r="M268" s="1090">
        <f>+H268/'Parametros Generales'!$C$8</f>
        <v>2</v>
      </c>
      <c r="N268" s="1097"/>
      <c r="O268" s="1097"/>
      <c r="P268" s="1097"/>
      <c r="Q268" s="1097"/>
      <c r="R268" s="1097">
        <f>+(M268/'Parametros Generales'!$C$9)</f>
        <v>0.5</v>
      </c>
      <c r="S268" s="390"/>
      <c r="T268" s="390"/>
      <c r="U268" s="390"/>
      <c r="V268" s="389"/>
      <c r="W268" s="32">
        <f>+R268*'Componentes T.H.'!$Q$9*'Parametros Generales'!$C$6</f>
        <v>2509253.5355000002</v>
      </c>
      <c r="X268" s="32">
        <f>(+VLOOKUP(C268,'Transporte y Viaticos'!$B$87:$L$120,2,0)*'Parametros Generales'!$C$7*R268)*(2/3)</f>
        <v>284386.54152482853</v>
      </c>
      <c r="Y268" s="417"/>
      <c r="Z268" s="417"/>
      <c r="AA268" s="417"/>
      <c r="AB268" s="417">
        <f>+M268*'Parametros Generales'!$C$6*'Parametros Generales'!$J$9</f>
        <v>973818.18181818211</v>
      </c>
      <c r="AC268" s="417">
        <f>+H268*'Parametros Generales'!$J$10*'Parametros Generales'!$C$6*'Parametros Generales'!$C$11</f>
        <v>3684624.6918504061</v>
      </c>
      <c r="AD268" s="417"/>
      <c r="AE268" s="417"/>
      <c r="AF268" s="417"/>
      <c r="AG268" s="417"/>
      <c r="AH268" s="417"/>
      <c r="AI268" s="417"/>
      <c r="AJ268" s="417"/>
      <c r="AK268" s="436"/>
      <c r="AL268" s="822"/>
    </row>
    <row r="269" spans="1:38" s="33" customFormat="1" hidden="1" outlineLevel="1">
      <c r="A269" s="1150"/>
      <c r="B269" s="823">
        <v>15</v>
      </c>
      <c r="C269" s="373" t="s">
        <v>2319</v>
      </c>
      <c r="D269" s="374">
        <f>+VLOOKUP(E269,Codigos!$A$1:$B$1123,2,0)</f>
        <v>15507</v>
      </c>
      <c r="E269" s="1113" t="s">
        <v>1770</v>
      </c>
      <c r="F269" s="1104">
        <v>1</v>
      </c>
      <c r="G269" s="375">
        <v>50</v>
      </c>
      <c r="H269" s="1062">
        <f>CEILING(G269,'Parametros Generales'!$C$8)</f>
        <v>50</v>
      </c>
      <c r="I269" s="1057" t="s">
        <v>862</v>
      </c>
      <c r="J269" s="1058">
        <v>50</v>
      </c>
      <c r="K269" s="1070" t="str">
        <f t="shared" si="22"/>
        <v>Ok</v>
      </c>
      <c r="L269" s="1077">
        <f t="shared" si="23"/>
        <v>0</v>
      </c>
      <c r="M269" s="1091">
        <f>+H269/'Parametros Generales'!$C$8</f>
        <v>2</v>
      </c>
      <c r="N269" s="1098"/>
      <c r="O269" s="1098"/>
      <c r="P269" s="1098"/>
      <c r="Q269" s="1098"/>
      <c r="R269" s="1098">
        <f>+(M269/'Parametros Generales'!$C$9)</f>
        <v>0.5</v>
      </c>
      <c r="S269" s="395"/>
      <c r="T269" s="395"/>
      <c r="U269" s="395"/>
      <c r="V269" s="396"/>
      <c r="W269" s="376">
        <f>+R269*'Componentes T.H.'!$Q$9*'Parametros Generales'!$C$6</f>
        <v>2509253.5355000002</v>
      </c>
      <c r="X269" s="376">
        <f>(+VLOOKUP(C269,'Transporte y Viaticos'!$B$87:$L$120,2,0)*'Parametros Generales'!$C$7*R269)*(2/3)</f>
        <v>284386.54152482853</v>
      </c>
      <c r="Y269" s="417"/>
      <c r="Z269" s="417"/>
      <c r="AA269" s="417"/>
      <c r="AB269" s="417">
        <f>+M269*'Parametros Generales'!$C$6*'Parametros Generales'!$J$9</f>
        <v>973818.18181818211</v>
      </c>
      <c r="AC269" s="417">
        <f>+H269*'Parametros Generales'!$J$10*'Parametros Generales'!$C$6*'Parametros Generales'!$C$11</f>
        <v>3684624.6918504061</v>
      </c>
      <c r="AD269" s="417"/>
      <c r="AE269" s="417"/>
      <c r="AF269" s="417"/>
      <c r="AG269" s="417"/>
      <c r="AH269" s="417"/>
      <c r="AI269" s="417"/>
      <c r="AJ269" s="417"/>
      <c r="AK269" s="436"/>
      <c r="AL269" s="822"/>
    </row>
    <row r="270" spans="1:38" s="33" customFormat="1" hidden="1" outlineLevel="1">
      <c r="A270" s="1150"/>
      <c r="B270" s="823">
        <v>15</v>
      </c>
      <c r="C270" s="373" t="s">
        <v>2319</v>
      </c>
      <c r="D270" s="374">
        <f>+VLOOKUP(E270,Codigos!$A$1:$B$1123,2,0)</f>
        <v>15516</v>
      </c>
      <c r="E270" s="1113" t="s">
        <v>1771</v>
      </c>
      <c r="F270" s="1104">
        <v>1</v>
      </c>
      <c r="G270" s="375">
        <v>200</v>
      </c>
      <c r="H270" s="1062">
        <f>CEILING(G270,'Parametros Generales'!$C$8)</f>
        <v>200</v>
      </c>
      <c r="I270" s="1057" t="s">
        <v>205</v>
      </c>
      <c r="J270" s="1058">
        <v>200</v>
      </c>
      <c r="K270" s="1070" t="str">
        <f t="shared" si="22"/>
        <v>Ok</v>
      </c>
      <c r="L270" s="1077">
        <f t="shared" si="23"/>
        <v>0</v>
      </c>
      <c r="M270" s="1091">
        <f>+H270/'Parametros Generales'!$C$8</f>
        <v>8</v>
      </c>
      <c r="N270" s="1098"/>
      <c r="O270" s="1098"/>
      <c r="P270" s="1098"/>
      <c r="Q270" s="1098"/>
      <c r="R270" s="1098">
        <f>+(M270/'Parametros Generales'!$C$9)</f>
        <v>2</v>
      </c>
      <c r="S270" s="395"/>
      <c r="T270" s="395"/>
      <c r="U270" s="395"/>
      <c r="V270" s="396"/>
      <c r="W270" s="376">
        <f>+R270*'Componentes T.H.'!$Q$9*'Parametros Generales'!$C$6</f>
        <v>10037014.142000001</v>
      </c>
      <c r="X270" s="376">
        <f>(+VLOOKUP(C270,'Transporte y Viaticos'!$B$87:$L$120,2,0)*'Parametros Generales'!$C$7*R270)*(2/3)</f>
        <v>1137546.1660993141</v>
      </c>
      <c r="Y270" s="417"/>
      <c r="Z270" s="417"/>
      <c r="AA270" s="417"/>
      <c r="AB270" s="417">
        <f>+M270*'Parametros Generales'!$C$6*'Parametros Generales'!$J$9</f>
        <v>3895272.7272727285</v>
      </c>
      <c r="AC270" s="417">
        <f>+H270*'Parametros Generales'!$J$10*'Parametros Generales'!$C$6*'Parametros Generales'!$C$11</f>
        <v>14738498.767401624</v>
      </c>
      <c r="AD270" s="417"/>
      <c r="AE270" s="417"/>
      <c r="AF270" s="417"/>
      <c r="AG270" s="417"/>
      <c r="AH270" s="417"/>
      <c r="AI270" s="417"/>
      <c r="AJ270" s="417"/>
      <c r="AK270" s="436"/>
      <c r="AL270" s="822"/>
    </row>
    <row r="271" spans="1:38" s="33" customFormat="1" hidden="1" outlineLevel="1">
      <c r="A271" s="1150"/>
      <c r="B271" s="823">
        <v>15</v>
      </c>
      <c r="C271" s="373" t="s">
        <v>2319</v>
      </c>
      <c r="D271" s="374">
        <f>+VLOOKUP(E271,Codigos!$A$1:$B$1123,2,0)</f>
        <v>15531</v>
      </c>
      <c r="E271" s="1113" t="s">
        <v>1772</v>
      </c>
      <c r="F271" s="1104">
        <v>1</v>
      </c>
      <c r="G271" s="375">
        <v>50</v>
      </c>
      <c r="H271" s="1062">
        <f>CEILING(G271,'Parametros Generales'!$C$8)</f>
        <v>50</v>
      </c>
      <c r="I271" s="1057" t="s">
        <v>867</v>
      </c>
      <c r="J271" s="1058">
        <v>50</v>
      </c>
      <c r="K271" s="1070" t="str">
        <f t="shared" si="22"/>
        <v>Ok</v>
      </c>
      <c r="L271" s="1077">
        <f t="shared" si="23"/>
        <v>0</v>
      </c>
      <c r="M271" s="1091">
        <f>+H271/'Parametros Generales'!$C$8</f>
        <v>2</v>
      </c>
      <c r="N271" s="1098"/>
      <c r="O271" s="1098"/>
      <c r="P271" s="1098"/>
      <c r="Q271" s="1098"/>
      <c r="R271" s="1098">
        <f>+(M271/'Parametros Generales'!$C$9)</f>
        <v>0.5</v>
      </c>
      <c r="S271" s="395"/>
      <c r="T271" s="395"/>
      <c r="U271" s="395"/>
      <c r="V271" s="396"/>
      <c r="W271" s="376">
        <f>+R271*'Componentes T.H.'!$Q$9*'Parametros Generales'!$C$6</f>
        <v>2509253.5355000002</v>
      </c>
      <c r="X271" s="376">
        <f>(+VLOOKUP(C271,'Transporte y Viaticos'!$B$87:$L$120,2,0)*'Parametros Generales'!$C$7*R271)*(2/3)</f>
        <v>284386.54152482853</v>
      </c>
      <c r="Y271" s="417"/>
      <c r="Z271" s="417"/>
      <c r="AA271" s="417"/>
      <c r="AB271" s="417">
        <f>+M271*'Parametros Generales'!$C$6*'Parametros Generales'!$J$9</f>
        <v>973818.18181818211</v>
      </c>
      <c r="AC271" s="417">
        <f>+H271*'Parametros Generales'!$J$10*'Parametros Generales'!$C$6*'Parametros Generales'!$C$11</f>
        <v>3684624.6918504061</v>
      </c>
      <c r="AD271" s="417"/>
      <c r="AE271" s="417"/>
      <c r="AF271" s="417"/>
      <c r="AG271" s="417"/>
      <c r="AH271" s="417"/>
      <c r="AI271" s="417"/>
      <c r="AJ271" s="417"/>
      <c r="AK271" s="436"/>
      <c r="AL271" s="822"/>
    </row>
    <row r="272" spans="1:38" s="33" customFormat="1" hidden="1" outlineLevel="1">
      <c r="A272" s="1150"/>
      <c r="B272" s="823">
        <v>15</v>
      </c>
      <c r="C272" s="373" t="s">
        <v>2319</v>
      </c>
      <c r="D272" s="374">
        <f>+VLOOKUP(E272,Codigos!$A$1:$B$1123,2,0)</f>
        <v>15537</v>
      </c>
      <c r="E272" s="1113" t="s">
        <v>1773</v>
      </c>
      <c r="F272" s="1104">
        <v>1</v>
      </c>
      <c r="G272" s="375">
        <v>125</v>
      </c>
      <c r="H272" s="1062">
        <f>CEILING((G272+25),'Parametros Generales'!$C$8)</f>
        <v>150</v>
      </c>
      <c r="I272" s="1057" t="s">
        <v>206</v>
      </c>
      <c r="J272" s="1058">
        <v>150</v>
      </c>
      <c r="K272" s="1070" t="str">
        <f t="shared" si="22"/>
        <v>Ok</v>
      </c>
      <c r="L272" s="1077">
        <f t="shared" si="23"/>
        <v>0</v>
      </c>
      <c r="M272" s="1091">
        <f>+H272/'Parametros Generales'!$C$8</f>
        <v>6</v>
      </c>
      <c r="N272" s="1098"/>
      <c r="O272" s="1098"/>
      <c r="P272" s="1098"/>
      <c r="Q272" s="1098"/>
      <c r="R272" s="1098">
        <f>+(M272/'Parametros Generales'!$C$9)</f>
        <v>1.5</v>
      </c>
      <c r="S272" s="395"/>
      <c r="T272" s="395"/>
      <c r="U272" s="395"/>
      <c r="V272" s="396"/>
      <c r="W272" s="376">
        <f>+R272*'Componentes T.H.'!$Q$9*'Parametros Generales'!$C$6</f>
        <v>7527760.6064999998</v>
      </c>
      <c r="X272" s="376">
        <f>(+VLOOKUP(C272,'Transporte y Viaticos'!$B$87:$L$120,2,0)*'Parametros Generales'!$C$7*R272)*(2/3)</f>
        <v>853159.6245744857</v>
      </c>
      <c r="Y272" s="417"/>
      <c r="Z272" s="417"/>
      <c r="AA272" s="417"/>
      <c r="AB272" s="417">
        <f>+M272*'Parametros Generales'!$C$6*'Parametros Generales'!$J$9</f>
        <v>2921454.5454545463</v>
      </c>
      <c r="AC272" s="417">
        <f>+H272*'Parametros Generales'!$J$10*'Parametros Generales'!$C$6*'Parametros Generales'!$C$11</f>
        <v>11053874.075551221</v>
      </c>
      <c r="AD272" s="417"/>
      <c r="AE272" s="417"/>
      <c r="AF272" s="417"/>
      <c r="AG272" s="417"/>
      <c r="AH272" s="417"/>
      <c r="AI272" s="417"/>
      <c r="AJ272" s="417"/>
      <c r="AK272" s="436"/>
      <c r="AL272" s="822"/>
    </row>
    <row r="273" spans="1:38" s="33" customFormat="1" hidden="1" outlineLevel="1">
      <c r="A273" s="1150"/>
      <c r="B273" s="823">
        <v>15</v>
      </c>
      <c r="C273" s="373" t="s">
        <v>2319</v>
      </c>
      <c r="D273" s="374">
        <f>+VLOOKUP(E273,Codigos!$A$1:$B$1123,2,0)</f>
        <v>15542</v>
      </c>
      <c r="E273" s="1113" t="s">
        <v>1774</v>
      </c>
      <c r="F273" s="1104">
        <v>1</v>
      </c>
      <c r="G273" s="375">
        <v>200</v>
      </c>
      <c r="H273" s="1062">
        <f>CEILING(G273,'Parametros Generales'!$C$8)</f>
        <v>200</v>
      </c>
      <c r="I273" s="1057" t="s">
        <v>207</v>
      </c>
      <c r="J273" s="1058">
        <v>200</v>
      </c>
      <c r="K273" s="1070" t="str">
        <f t="shared" si="22"/>
        <v>Ok</v>
      </c>
      <c r="L273" s="1077">
        <f t="shared" si="23"/>
        <v>0</v>
      </c>
      <c r="M273" s="1091">
        <f>+H273/'Parametros Generales'!$C$8</f>
        <v>8</v>
      </c>
      <c r="N273" s="1098"/>
      <c r="O273" s="1098"/>
      <c r="P273" s="1098"/>
      <c r="Q273" s="1098"/>
      <c r="R273" s="1098">
        <f>+(M273/'Parametros Generales'!$C$9)</f>
        <v>2</v>
      </c>
      <c r="S273" s="395"/>
      <c r="T273" s="395"/>
      <c r="U273" s="395"/>
      <c r="V273" s="396"/>
      <c r="W273" s="376">
        <f>+R273*'Componentes T.H.'!$Q$9*'Parametros Generales'!$C$6</f>
        <v>10037014.142000001</v>
      </c>
      <c r="X273" s="376">
        <f>(+VLOOKUP(C273,'Transporte y Viaticos'!$B$87:$L$120,2,0)*'Parametros Generales'!$C$7*R273)*(2/3)</f>
        <v>1137546.1660993141</v>
      </c>
      <c r="Y273" s="417"/>
      <c r="Z273" s="417"/>
      <c r="AA273" s="417"/>
      <c r="AB273" s="417">
        <f>+M273*'Parametros Generales'!$C$6*'Parametros Generales'!$J$9</f>
        <v>3895272.7272727285</v>
      </c>
      <c r="AC273" s="417">
        <f>+H273*'Parametros Generales'!$J$10*'Parametros Generales'!$C$6*'Parametros Generales'!$C$11</f>
        <v>14738498.767401624</v>
      </c>
      <c r="AD273" s="417"/>
      <c r="AE273" s="417"/>
      <c r="AF273" s="417"/>
      <c r="AG273" s="417"/>
      <c r="AH273" s="417"/>
      <c r="AI273" s="417"/>
      <c r="AJ273" s="417"/>
      <c r="AK273" s="436"/>
      <c r="AL273" s="822"/>
    </row>
    <row r="274" spans="1:38" s="33" customFormat="1" hidden="1" outlineLevel="1">
      <c r="A274" s="1150"/>
      <c r="B274" s="823">
        <v>15</v>
      </c>
      <c r="C274" s="373" t="s">
        <v>2319</v>
      </c>
      <c r="D274" s="374">
        <f>+VLOOKUP(E274,Codigos!$A$1:$B$1123,2,0)</f>
        <v>15572</v>
      </c>
      <c r="E274" s="1113" t="s">
        <v>1775</v>
      </c>
      <c r="F274" s="1104">
        <v>1</v>
      </c>
      <c r="G274" s="375">
        <v>200</v>
      </c>
      <c r="H274" s="1062">
        <f>CEILING(G274,'Parametros Generales'!$C$8)</f>
        <v>200</v>
      </c>
      <c r="I274" s="1057" t="s">
        <v>208</v>
      </c>
      <c r="J274" s="1058">
        <v>200</v>
      </c>
      <c r="K274" s="1070" t="str">
        <f t="shared" si="22"/>
        <v>Ok</v>
      </c>
      <c r="L274" s="1077">
        <f t="shared" si="23"/>
        <v>0</v>
      </c>
      <c r="M274" s="1091">
        <f>+H274/'Parametros Generales'!$C$8</f>
        <v>8</v>
      </c>
      <c r="N274" s="1098"/>
      <c r="O274" s="1098"/>
      <c r="P274" s="1098"/>
      <c r="Q274" s="1098"/>
      <c r="R274" s="1098">
        <f>+(M274/'Parametros Generales'!$C$9)</f>
        <v>2</v>
      </c>
      <c r="S274" s="395"/>
      <c r="T274" s="395"/>
      <c r="U274" s="395"/>
      <c r="V274" s="396"/>
      <c r="W274" s="376">
        <f>+R274*'Componentes T.H.'!$Q$9*'Parametros Generales'!$C$6</f>
        <v>10037014.142000001</v>
      </c>
      <c r="X274" s="376">
        <f>(+VLOOKUP(C274,'Transporte y Viaticos'!$B$87:$L$120,2,0)*'Parametros Generales'!$C$7*R274)*(2/3)</f>
        <v>1137546.1660993141</v>
      </c>
      <c r="Y274" s="417"/>
      <c r="Z274" s="417"/>
      <c r="AA274" s="417"/>
      <c r="AB274" s="417">
        <f>+M274*'Parametros Generales'!$C$6*'Parametros Generales'!$J$9</f>
        <v>3895272.7272727285</v>
      </c>
      <c r="AC274" s="417">
        <f>+H274*'Parametros Generales'!$J$10*'Parametros Generales'!$C$6*'Parametros Generales'!$C$11</f>
        <v>14738498.767401624</v>
      </c>
      <c r="AD274" s="417"/>
      <c r="AE274" s="417"/>
      <c r="AF274" s="417"/>
      <c r="AG274" s="417"/>
      <c r="AH274" s="417"/>
      <c r="AI274" s="417"/>
      <c r="AJ274" s="417"/>
      <c r="AK274" s="436"/>
      <c r="AL274" s="822"/>
    </row>
    <row r="275" spans="1:38" s="33" customFormat="1" hidden="1" outlineLevel="1">
      <c r="A275" s="1150"/>
      <c r="B275" s="823">
        <v>15</v>
      </c>
      <c r="C275" s="373" t="s">
        <v>2319</v>
      </c>
      <c r="D275" s="374">
        <f>+VLOOKUP(E275,Codigos!$A$1:$B$1123,2,0)</f>
        <v>15599</v>
      </c>
      <c r="E275" s="1113" t="s">
        <v>1776</v>
      </c>
      <c r="F275" s="1104">
        <v>1</v>
      </c>
      <c r="G275" s="375">
        <v>50</v>
      </c>
      <c r="H275" s="1062">
        <f>CEILING(G275,'Parametros Generales'!$C$8)</f>
        <v>50</v>
      </c>
      <c r="I275" s="1057" t="s">
        <v>871</v>
      </c>
      <c r="J275" s="1058">
        <v>50</v>
      </c>
      <c r="K275" s="1070" t="str">
        <f t="shared" si="22"/>
        <v>Ok</v>
      </c>
      <c r="L275" s="1077">
        <f t="shared" si="23"/>
        <v>0</v>
      </c>
      <c r="M275" s="1091">
        <f>+H275/'Parametros Generales'!$C$8</f>
        <v>2</v>
      </c>
      <c r="N275" s="1098"/>
      <c r="O275" s="1098"/>
      <c r="P275" s="1098"/>
      <c r="Q275" s="1098"/>
      <c r="R275" s="1098">
        <f>+(M275/'Parametros Generales'!$C$9)</f>
        <v>0.5</v>
      </c>
      <c r="S275" s="395"/>
      <c r="T275" s="395"/>
      <c r="U275" s="395"/>
      <c r="V275" s="396"/>
      <c r="W275" s="376">
        <f>+R275*'Componentes T.H.'!$Q$9*'Parametros Generales'!$C$6</f>
        <v>2509253.5355000002</v>
      </c>
      <c r="X275" s="376">
        <f>(+VLOOKUP(C275,'Transporte y Viaticos'!$B$87:$L$120,2,0)*'Parametros Generales'!$C$7*R275)*(2/3)</f>
        <v>284386.54152482853</v>
      </c>
      <c r="Y275" s="417"/>
      <c r="Z275" s="417"/>
      <c r="AA275" s="417"/>
      <c r="AB275" s="417">
        <f>+M275*'Parametros Generales'!$C$6*'Parametros Generales'!$J$9</f>
        <v>973818.18181818211</v>
      </c>
      <c r="AC275" s="417">
        <f>+H275*'Parametros Generales'!$J$10*'Parametros Generales'!$C$6*'Parametros Generales'!$C$11</f>
        <v>3684624.6918504061</v>
      </c>
      <c r="AD275" s="417"/>
      <c r="AE275" s="417"/>
      <c r="AF275" s="417"/>
      <c r="AG275" s="417"/>
      <c r="AH275" s="417"/>
      <c r="AI275" s="417"/>
      <c r="AJ275" s="417"/>
      <c r="AK275" s="436"/>
      <c r="AL275" s="822"/>
    </row>
    <row r="276" spans="1:38" s="33" customFormat="1" hidden="1" outlineLevel="1">
      <c r="A276" s="1150"/>
      <c r="B276" s="823">
        <v>15</v>
      </c>
      <c r="C276" s="373" t="s">
        <v>2319</v>
      </c>
      <c r="D276" s="374">
        <f>+VLOOKUP(E276,Codigos!$A$1:$B$1123,2,0)</f>
        <v>15646</v>
      </c>
      <c r="E276" s="1113" t="s">
        <v>1777</v>
      </c>
      <c r="F276" s="1104">
        <v>1</v>
      </c>
      <c r="G276" s="375">
        <v>200</v>
      </c>
      <c r="H276" s="1062">
        <f>CEILING(G276,'Parametros Generales'!$C$8)</f>
        <v>200</v>
      </c>
      <c r="I276" s="1057" t="s">
        <v>209</v>
      </c>
      <c r="J276" s="1058">
        <v>200</v>
      </c>
      <c r="K276" s="1070" t="str">
        <f t="shared" si="22"/>
        <v>Ok</v>
      </c>
      <c r="L276" s="1077">
        <f t="shared" si="23"/>
        <v>0</v>
      </c>
      <c r="M276" s="1091">
        <f>+H276/'Parametros Generales'!$C$8</f>
        <v>8</v>
      </c>
      <c r="N276" s="1098"/>
      <c r="O276" s="1098"/>
      <c r="P276" s="1098"/>
      <c r="Q276" s="1098"/>
      <c r="R276" s="1098">
        <f>+(M276/'Parametros Generales'!$C$9)</f>
        <v>2</v>
      </c>
      <c r="S276" s="395"/>
      <c r="T276" s="395"/>
      <c r="U276" s="395"/>
      <c r="V276" s="396"/>
      <c r="W276" s="376">
        <f>+R276*'Componentes T.H.'!$Q$9*'Parametros Generales'!$C$6</f>
        <v>10037014.142000001</v>
      </c>
      <c r="X276" s="376">
        <f>(+VLOOKUP(C276,'Transporte y Viaticos'!$B$87:$L$120,2,0)*'Parametros Generales'!$C$7*R276)*(2/3)</f>
        <v>1137546.1660993141</v>
      </c>
      <c r="Y276" s="417"/>
      <c r="Z276" s="417"/>
      <c r="AA276" s="417"/>
      <c r="AB276" s="417">
        <f>+M276*'Parametros Generales'!$C$6*'Parametros Generales'!$J$9</f>
        <v>3895272.7272727285</v>
      </c>
      <c r="AC276" s="417">
        <f>+H276*'Parametros Generales'!$J$10*'Parametros Generales'!$C$6*'Parametros Generales'!$C$11</f>
        <v>14738498.767401624</v>
      </c>
      <c r="AD276" s="417"/>
      <c r="AE276" s="417"/>
      <c r="AF276" s="417"/>
      <c r="AG276" s="417"/>
      <c r="AH276" s="417"/>
      <c r="AI276" s="417"/>
      <c r="AJ276" s="417"/>
      <c r="AK276" s="436"/>
      <c r="AL276" s="822"/>
    </row>
    <row r="277" spans="1:38" s="33" customFormat="1" hidden="1" outlineLevel="1">
      <c r="A277" s="1150"/>
      <c r="B277" s="823">
        <v>15</v>
      </c>
      <c r="C277" s="373" t="s">
        <v>2319</v>
      </c>
      <c r="D277" s="374">
        <f>+VLOOKUP(E277,Codigos!$A$1:$B$1123,2,0)</f>
        <v>15681</v>
      </c>
      <c r="E277" s="1113" t="s">
        <v>1778</v>
      </c>
      <c r="F277" s="1104">
        <v>1</v>
      </c>
      <c r="G277" s="375">
        <v>75</v>
      </c>
      <c r="H277" s="1062">
        <f>CEILING((G277+25),'Parametros Generales'!$C$8)</f>
        <v>100</v>
      </c>
      <c r="I277" s="1057" t="s">
        <v>881</v>
      </c>
      <c r="J277" s="1058">
        <v>100</v>
      </c>
      <c r="K277" s="1070" t="str">
        <f t="shared" si="22"/>
        <v>Ok</v>
      </c>
      <c r="L277" s="1077">
        <f t="shared" si="23"/>
        <v>0</v>
      </c>
      <c r="M277" s="1091">
        <f>+H277/'Parametros Generales'!$C$8</f>
        <v>4</v>
      </c>
      <c r="N277" s="1098"/>
      <c r="O277" s="1098"/>
      <c r="P277" s="1098"/>
      <c r="Q277" s="1098"/>
      <c r="R277" s="1098">
        <f>+(M277/'Parametros Generales'!$C$9)</f>
        <v>1</v>
      </c>
      <c r="S277" s="395"/>
      <c r="T277" s="395"/>
      <c r="U277" s="395"/>
      <c r="V277" s="396"/>
      <c r="W277" s="376">
        <f>+R277*'Componentes T.H.'!$Q$9*'Parametros Generales'!$C$6</f>
        <v>5018507.0710000005</v>
      </c>
      <c r="X277" s="376">
        <f>(+VLOOKUP(C277,'Transporte y Viaticos'!$B$87:$L$120,2,0)*'Parametros Generales'!$C$7*R277)*(2/3)</f>
        <v>568773.08304965706</v>
      </c>
      <c r="Y277" s="417"/>
      <c r="Z277" s="417"/>
      <c r="AA277" s="417"/>
      <c r="AB277" s="417">
        <f>+M277*'Parametros Generales'!$C$6*'Parametros Generales'!$J$9</f>
        <v>1947636.3636363642</v>
      </c>
      <c r="AC277" s="417">
        <f>+H277*'Parametros Generales'!$J$10*'Parametros Generales'!$C$6*'Parametros Generales'!$C$11</f>
        <v>7369249.3837008122</v>
      </c>
      <c r="AD277" s="417"/>
      <c r="AE277" s="417"/>
      <c r="AF277" s="417"/>
      <c r="AG277" s="417"/>
      <c r="AH277" s="417"/>
      <c r="AI277" s="417"/>
      <c r="AJ277" s="417"/>
      <c r="AK277" s="436"/>
      <c r="AL277" s="822"/>
    </row>
    <row r="278" spans="1:38" s="33" customFormat="1" hidden="1" outlineLevel="1">
      <c r="A278" s="1150"/>
      <c r="B278" s="823">
        <v>15</v>
      </c>
      <c r="C278" s="373" t="s">
        <v>2319</v>
      </c>
      <c r="D278" s="374">
        <f>+VLOOKUP(E278,Codigos!$A$1:$B$1123,2,0)</f>
        <v>15693</v>
      </c>
      <c r="E278" s="1113" t="s">
        <v>1779</v>
      </c>
      <c r="F278" s="1104">
        <v>1</v>
      </c>
      <c r="G278" s="375">
        <v>200</v>
      </c>
      <c r="H278" s="1062">
        <f>CEILING(G278,'Parametros Generales'!$C$8)</f>
        <v>200</v>
      </c>
      <c r="I278" s="1057" t="s">
        <v>210</v>
      </c>
      <c r="J278" s="1058">
        <v>200</v>
      </c>
      <c r="K278" s="1070" t="str">
        <f t="shared" si="22"/>
        <v>Ok</v>
      </c>
      <c r="L278" s="1077">
        <f t="shared" si="23"/>
        <v>0</v>
      </c>
      <c r="M278" s="1091">
        <f>+H278/'Parametros Generales'!$C$8</f>
        <v>8</v>
      </c>
      <c r="N278" s="1098"/>
      <c r="O278" s="1098"/>
      <c r="P278" s="1098"/>
      <c r="Q278" s="1098"/>
      <c r="R278" s="1098">
        <f>+(M278/'Parametros Generales'!$C$9)</f>
        <v>2</v>
      </c>
      <c r="S278" s="395"/>
      <c r="T278" s="395"/>
      <c r="U278" s="395"/>
      <c r="V278" s="396"/>
      <c r="W278" s="376">
        <f>+R278*'Componentes T.H.'!$Q$9*'Parametros Generales'!$C$6</f>
        <v>10037014.142000001</v>
      </c>
      <c r="X278" s="376">
        <f>(+VLOOKUP(C278,'Transporte y Viaticos'!$B$87:$L$120,2,0)*'Parametros Generales'!$C$7*R278)*(2/3)</f>
        <v>1137546.1660993141</v>
      </c>
      <c r="Y278" s="417"/>
      <c r="Z278" s="417"/>
      <c r="AA278" s="417"/>
      <c r="AB278" s="417">
        <f>+M278*'Parametros Generales'!$C$6*'Parametros Generales'!$J$9</f>
        <v>3895272.7272727285</v>
      </c>
      <c r="AC278" s="417">
        <f>+H278*'Parametros Generales'!$J$10*'Parametros Generales'!$C$6*'Parametros Generales'!$C$11</f>
        <v>14738498.767401624</v>
      </c>
      <c r="AD278" s="417"/>
      <c r="AE278" s="417"/>
      <c r="AF278" s="417"/>
      <c r="AG278" s="417"/>
      <c r="AH278" s="417"/>
      <c r="AI278" s="417"/>
      <c r="AJ278" s="417"/>
      <c r="AK278" s="436"/>
      <c r="AL278" s="822"/>
    </row>
    <row r="279" spans="1:38" s="33" customFormat="1" hidden="1" outlineLevel="1">
      <c r="A279" s="1150"/>
      <c r="B279" s="823">
        <v>15</v>
      </c>
      <c r="C279" s="373" t="s">
        <v>2319</v>
      </c>
      <c r="D279" s="374">
        <f>+VLOOKUP(E279,Codigos!$A$1:$B$1123,2,0)</f>
        <v>15686</v>
      </c>
      <c r="E279" s="1113" t="s">
        <v>1780</v>
      </c>
      <c r="F279" s="1104">
        <v>1</v>
      </c>
      <c r="G279" s="375">
        <v>200</v>
      </c>
      <c r="H279" s="1062">
        <f>CEILING(G279,'Parametros Generales'!$C$8)</f>
        <v>200</v>
      </c>
      <c r="I279" s="1057" t="s">
        <v>211</v>
      </c>
      <c r="J279" s="1058">
        <v>200</v>
      </c>
      <c r="K279" s="1070" t="str">
        <f t="shared" si="22"/>
        <v>Ok</v>
      </c>
      <c r="L279" s="1077">
        <f t="shared" si="23"/>
        <v>0</v>
      </c>
      <c r="M279" s="1091">
        <f>+H279/'Parametros Generales'!$C$8</f>
        <v>8</v>
      </c>
      <c r="N279" s="1098"/>
      <c r="O279" s="1098"/>
      <c r="P279" s="1098"/>
      <c r="Q279" s="1098"/>
      <c r="R279" s="1098">
        <f>+(M279/'Parametros Generales'!$C$9)</f>
        <v>2</v>
      </c>
      <c r="S279" s="395"/>
      <c r="T279" s="395"/>
      <c r="U279" s="395"/>
      <c r="V279" s="396"/>
      <c r="W279" s="376">
        <f>+R279*'Componentes T.H.'!$Q$9*'Parametros Generales'!$C$6</f>
        <v>10037014.142000001</v>
      </c>
      <c r="X279" s="376">
        <f>(+VLOOKUP(C279,'Transporte y Viaticos'!$B$87:$L$120,2,0)*'Parametros Generales'!$C$7*R279)*(2/3)</f>
        <v>1137546.1660993141</v>
      </c>
      <c r="Y279" s="417"/>
      <c r="Z279" s="417"/>
      <c r="AA279" s="417"/>
      <c r="AB279" s="417">
        <f>+M279*'Parametros Generales'!$C$6*'Parametros Generales'!$J$9</f>
        <v>3895272.7272727285</v>
      </c>
      <c r="AC279" s="417">
        <f>+H279*'Parametros Generales'!$J$10*'Parametros Generales'!$C$6*'Parametros Generales'!$C$11</f>
        <v>14738498.767401624</v>
      </c>
      <c r="AD279" s="417"/>
      <c r="AE279" s="417"/>
      <c r="AF279" s="417"/>
      <c r="AG279" s="417"/>
      <c r="AH279" s="417"/>
      <c r="AI279" s="417"/>
      <c r="AJ279" s="417"/>
      <c r="AK279" s="436"/>
      <c r="AL279" s="822"/>
    </row>
    <row r="280" spans="1:38" s="33" customFormat="1" hidden="1" outlineLevel="1">
      <c r="A280" s="1150"/>
      <c r="B280" s="823">
        <v>15</v>
      </c>
      <c r="C280" s="373" t="s">
        <v>2319</v>
      </c>
      <c r="D280" s="374">
        <f>+VLOOKUP(E280,Codigos!$A$1:$B$1123,2,0)</f>
        <v>15720</v>
      </c>
      <c r="E280" s="1113" t="s">
        <v>1781</v>
      </c>
      <c r="F280" s="1104">
        <v>1</v>
      </c>
      <c r="G280" s="375">
        <v>50</v>
      </c>
      <c r="H280" s="1062">
        <f>CEILING(G280,'Parametros Generales'!$C$8)</f>
        <v>50</v>
      </c>
      <c r="I280" s="1057" t="s">
        <v>884</v>
      </c>
      <c r="J280" s="1058">
        <v>50</v>
      </c>
      <c r="K280" s="1070" t="str">
        <f t="shared" si="22"/>
        <v>Ok</v>
      </c>
      <c r="L280" s="1077">
        <f t="shared" si="23"/>
        <v>0</v>
      </c>
      <c r="M280" s="1091">
        <f>+H280/'Parametros Generales'!$C$8</f>
        <v>2</v>
      </c>
      <c r="N280" s="1098"/>
      <c r="O280" s="1098"/>
      <c r="P280" s="1098"/>
      <c r="Q280" s="1098"/>
      <c r="R280" s="1098">
        <f>+(M280/'Parametros Generales'!$C$9)</f>
        <v>0.5</v>
      </c>
      <c r="S280" s="395"/>
      <c r="T280" s="395"/>
      <c r="U280" s="395"/>
      <c r="V280" s="396"/>
      <c r="W280" s="376">
        <f>+R280*'Componentes T.H.'!$Q$9*'Parametros Generales'!$C$6</f>
        <v>2509253.5355000002</v>
      </c>
      <c r="X280" s="376">
        <f>(+VLOOKUP(C280,'Transporte y Viaticos'!$B$87:$L$120,2,0)*'Parametros Generales'!$C$7*R280)*(2/3)</f>
        <v>284386.54152482853</v>
      </c>
      <c r="Y280" s="417"/>
      <c r="Z280" s="417"/>
      <c r="AA280" s="417"/>
      <c r="AB280" s="417">
        <f>+M280*'Parametros Generales'!$C$6*'Parametros Generales'!$J$9</f>
        <v>973818.18181818211</v>
      </c>
      <c r="AC280" s="417">
        <f>+H280*'Parametros Generales'!$J$10*'Parametros Generales'!$C$6*'Parametros Generales'!$C$11</f>
        <v>3684624.6918504061</v>
      </c>
      <c r="AD280" s="417"/>
      <c r="AE280" s="417"/>
      <c r="AF280" s="417"/>
      <c r="AG280" s="417"/>
      <c r="AH280" s="417"/>
      <c r="AI280" s="417"/>
      <c r="AJ280" s="417"/>
      <c r="AK280" s="436"/>
      <c r="AL280" s="822"/>
    </row>
    <row r="281" spans="1:38" s="33" customFormat="1" hidden="1" outlineLevel="1">
      <c r="A281" s="1150"/>
      <c r="B281" s="823">
        <v>15</v>
      </c>
      <c r="C281" s="373" t="s">
        <v>2319</v>
      </c>
      <c r="D281" s="374">
        <f>+VLOOKUP(E281,Codigos!$A$1:$B$1123,2,0)</f>
        <v>15753</v>
      </c>
      <c r="E281" s="1113" t="s">
        <v>1782</v>
      </c>
      <c r="F281" s="1104">
        <v>1</v>
      </c>
      <c r="G281" s="375">
        <v>100</v>
      </c>
      <c r="H281" s="1062">
        <f>CEILING(G281,'Parametros Generales'!$C$8)</f>
        <v>100</v>
      </c>
      <c r="I281" s="1057" t="s">
        <v>887</v>
      </c>
      <c r="J281" s="1058">
        <v>100</v>
      </c>
      <c r="K281" s="1070" t="str">
        <f t="shared" si="22"/>
        <v>Ok</v>
      </c>
      <c r="L281" s="1077">
        <f t="shared" si="23"/>
        <v>0</v>
      </c>
      <c r="M281" s="1091">
        <f>+H281/'Parametros Generales'!$C$8</f>
        <v>4</v>
      </c>
      <c r="N281" s="1098"/>
      <c r="O281" s="1098"/>
      <c r="P281" s="1098"/>
      <c r="Q281" s="1098"/>
      <c r="R281" s="1098">
        <f>+(M281/'Parametros Generales'!$C$9)</f>
        <v>1</v>
      </c>
      <c r="S281" s="395"/>
      <c r="T281" s="395"/>
      <c r="U281" s="395"/>
      <c r="V281" s="396"/>
      <c r="W281" s="376">
        <f>+R281*'Componentes T.H.'!$Q$9*'Parametros Generales'!$C$6</f>
        <v>5018507.0710000005</v>
      </c>
      <c r="X281" s="376">
        <f>(+VLOOKUP(C281,'Transporte y Viaticos'!$B$87:$L$120,2,0)*'Parametros Generales'!$C$7*R281)*(2/3)</f>
        <v>568773.08304965706</v>
      </c>
      <c r="Y281" s="417"/>
      <c r="Z281" s="417"/>
      <c r="AA281" s="417"/>
      <c r="AB281" s="417">
        <f>+M281*'Parametros Generales'!$C$6*'Parametros Generales'!$J$9</f>
        <v>1947636.3636363642</v>
      </c>
      <c r="AC281" s="417">
        <f>+H281*'Parametros Generales'!$J$10*'Parametros Generales'!$C$6*'Parametros Generales'!$C$11</f>
        <v>7369249.3837008122</v>
      </c>
      <c r="AD281" s="417"/>
      <c r="AE281" s="417"/>
      <c r="AF281" s="417"/>
      <c r="AG281" s="417"/>
      <c r="AH281" s="417"/>
      <c r="AI281" s="417"/>
      <c r="AJ281" s="417"/>
      <c r="AK281" s="436"/>
      <c r="AL281" s="822"/>
    </row>
    <row r="282" spans="1:38" s="33" customFormat="1" hidden="1" outlineLevel="1">
      <c r="A282" s="1150"/>
      <c r="B282" s="823">
        <v>15</v>
      </c>
      <c r="C282" s="373" t="s">
        <v>2319</v>
      </c>
      <c r="D282" s="374">
        <f>+VLOOKUP(E282,Codigos!$A$1:$B$1123,2,0)</f>
        <v>15755</v>
      </c>
      <c r="E282" s="1113" t="s">
        <v>1783</v>
      </c>
      <c r="F282" s="1104">
        <v>1</v>
      </c>
      <c r="G282" s="375">
        <v>125</v>
      </c>
      <c r="H282" s="1062">
        <f>CEILING((G282+25),'Parametros Generales'!$C$8)</f>
        <v>150</v>
      </c>
      <c r="I282" s="1057" t="s">
        <v>212</v>
      </c>
      <c r="J282" s="1058">
        <v>150</v>
      </c>
      <c r="K282" s="1070" t="str">
        <f t="shared" si="22"/>
        <v>Ok</v>
      </c>
      <c r="L282" s="1077">
        <f t="shared" si="23"/>
        <v>0</v>
      </c>
      <c r="M282" s="1091">
        <f>+H282/'Parametros Generales'!$C$8</f>
        <v>6</v>
      </c>
      <c r="N282" s="1098"/>
      <c r="O282" s="1098"/>
      <c r="P282" s="1098"/>
      <c r="Q282" s="1098"/>
      <c r="R282" s="1098">
        <f>+(M282/'Parametros Generales'!$C$9)</f>
        <v>1.5</v>
      </c>
      <c r="S282" s="395"/>
      <c r="T282" s="395"/>
      <c r="U282" s="395"/>
      <c r="V282" s="396"/>
      <c r="W282" s="376">
        <f>+R282*'Componentes T.H.'!$Q$9*'Parametros Generales'!$C$6</f>
        <v>7527760.6064999998</v>
      </c>
      <c r="X282" s="376">
        <f>(+VLOOKUP(C282,'Transporte y Viaticos'!$B$87:$L$120,2,0)*'Parametros Generales'!$C$7*R282)*(2/3)</f>
        <v>853159.6245744857</v>
      </c>
      <c r="Y282" s="417"/>
      <c r="Z282" s="417"/>
      <c r="AA282" s="417"/>
      <c r="AB282" s="417">
        <f>+M282*'Parametros Generales'!$C$6*'Parametros Generales'!$J$9</f>
        <v>2921454.5454545463</v>
      </c>
      <c r="AC282" s="417">
        <f>+H282*'Parametros Generales'!$J$10*'Parametros Generales'!$C$6*'Parametros Generales'!$C$11</f>
        <v>11053874.075551221</v>
      </c>
      <c r="AD282" s="417"/>
      <c r="AE282" s="417"/>
      <c r="AF282" s="417"/>
      <c r="AG282" s="417"/>
      <c r="AH282" s="417"/>
      <c r="AI282" s="417"/>
      <c r="AJ282" s="417"/>
      <c r="AK282" s="436"/>
      <c r="AL282" s="822"/>
    </row>
    <row r="283" spans="1:38" s="33" customFormat="1" hidden="1" outlineLevel="1">
      <c r="A283" s="1150"/>
      <c r="B283" s="823">
        <v>15</v>
      </c>
      <c r="C283" s="373" t="s">
        <v>2319</v>
      </c>
      <c r="D283" s="374">
        <f>+VLOOKUP(E283,Codigos!$A$1:$B$1123,2,0)</f>
        <v>15759</v>
      </c>
      <c r="E283" s="1113" t="s">
        <v>1784</v>
      </c>
      <c r="F283" s="1104">
        <v>1</v>
      </c>
      <c r="G283" s="375">
        <v>200</v>
      </c>
      <c r="H283" s="1062">
        <f>CEILING(G283,'Parametros Generales'!$C$8)</f>
        <v>200</v>
      </c>
      <c r="I283" s="1057" t="s">
        <v>213</v>
      </c>
      <c r="J283" s="1058">
        <v>200</v>
      </c>
      <c r="K283" s="1070" t="str">
        <f t="shared" si="22"/>
        <v>Ok</v>
      </c>
      <c r="L283" s="1077">
        <f t="shared" si="23"/>
        <v>0</v>
      </c>
      <c r="M283" s="1091">
        <f>+H283/'Parametros Generales'!$C$8</f>
        <v>8</v>
      </c>
      <c r="N283" s="1098"/>
      <c r="O283" s="1098"/>
      <c r="P283" s="1098"/>
      <c r="Q283" s="1098"/>
      <c r="R283" s="1098">
        <f>+(M283/'Parametros Generales'!$C$9)</f>
        <v>2</v>
      </c>
      <c r="S283" s="395"/>
      <c r="T283" s="395"/>
      <c r="U283" s="395"/>
      <c r="V283" s="396"/>
      <c r="W283" s="376">
        <f>+R283*'Componentes T.H.'!$Q$9*'Parametros Generales'!$C$6</f>
        <v>10037014.142000001</v>
      </c>
      <c r="X283" s="376">
        <f>(+VLOOKUP(C283,'Transporte y Viaticos'!$B$87:$L$120,2,0)*'Parametros Generales'!$C$7*R283)*(2/3)</f>
        <v>1137546.1660993141</v>
      </c>
      <c r="Y283" s="417"/>
      <c r="Z283" s="417"/>
      <c r="AA283" s="417"/>
      <c r="AB283" s="417">
        <f>+M283*'Parametros Generales'!$C$6*'Parametros Generales'!$J$9</f>
        <v>3895272.7272727285</v>
      </c>
      <c r="AC283" s="417">
        <f>+H283*'Parametros Generales'!$J$10*'Parametros Generales'!$C$6*'Parametros Generales'!$C$11</f>
        <v>14738498.767401624</v>
      </c>
      <c r="AD283" s="417"/>
      <c r="AE283" s="417"/>
      <c r="AF283" s="417"/>
      <c r="AG283" s="417"/>
      <c r="AH283" s="417"/>
      <c r="AI283" s="417"/>
      <c r="AJ283" s="417"/>
      <c r="AK283" s="436"/>
      <c r="AL283" s="822"/>
    </row>
    <row r="284" spans="1:38" s="33" customFormat="1" hidden="1" outlineLevel="1">
      <c r="A284" s="1150"/>
      <c r="B284" s="823">
        <v>15</v>
      </c>
      <c r="C284" s="373" t="s">
        <v>2319</v>
      </c>
      <c r="D284" s="374">
        <f>+VLOOKUP(E284,Codigos!$A$1:$B$1123,2,0)</f>
        <v>15810</v>
      </c>
      <c r="E284" s="1113" t="s">
        <v>1785</v>
      </c>
      <c r="F284" s="1104">
        <v>1</v>
      </c>
      <c r="G284" s="375">
        <v>100</v>
      </c>
      <c r="H284" s="1062">
        <f>CEILING(G284,'Parametros Generales'!$C$8)</f>
        <v>100</v>
      </c>
      <c r="I284" s="1057" t="s">
        <v>214</v>
      </c>
      <c r="J284" s="1058">
        <v>100</v>
      </c>
      <c r="K284" s="1070" t="str">
        <f t="shared" si="22"/>
        <v>Ok</v>
      </c>
      <c r="L284" s="1077">
        <f t="shared" si="23"/>
        <v>0</v>
      </c>
      <c r="M284" s="1091">
        <f>+H284/'Parametros Generales'!$C$8</f>
        <v>4</v>
      </c>
      <c r="N284" s="1098"/>
      <c r="O284" s="1098"/>
      <c r="P284" s="1098"/>
      <c r="Q284" s="1098"/>
      <c r="R284" s="1098">
        <f>+(M284/'Parametros Generales'!$C$9)</f>
        <v>1</v>
      </c>
      <c r="S284" s="395"/>
      <c r="T284" s="395"/>
      <c r="U284" s="395"/>
      <c r="V284" s="396"/>
      <c r="W284" s="376">
        <f>+R284*'Componentes T.H.'!$Q$9*'Parametros Generales'!$C$6</f>
        <v>5018507.0710000005</v>
      </c>
      <c r="X284" s="376">
        <f>(+VLOOKUP(C284,'Transporte y Viaticos'!$B$87:$L$120,2,0)*'Parametros Generales'!$C$7*R284)*(2/3)</f>
        <v>568773.08304965706</v>
      </c>
      <c r="Y284" s="417"/>
      <c r="Z284" s="417"/>
      <c r="AA284" s="417"/>
      <c r="AB284" s="417">
        <f>+M284*'Parametros Generales'!$C$6*'Parametros Generales'!$J$9</f>
        <v>1947636.3636363642</v>
      </c>
      <c r="AC284" s="417">
        <f>+H284*'Parametros Generales'!$J$10*'Parametros Generales'!$C$6*'Parametros Generales'!$C$11</f>
        <v>7369249.3837008122</v>
      </c>
      <c r="AD284" s="417"/>
      <c r="AE284" s="417"/>
      <c r="AF284" s="417"/>
      <c r="AG284" s="417"/>
      <c r="AH284" s="417"/>
      <c r="AI284" s="417"/>
      <c r="AJ284" s="417"/>
      <c r="AK284" s="436"/>
      <c r="AL284" s="822"/>
    </row>
    <row r="285" spans="1:38" s="33" customFormat="1" hidden="1" outlineLevel="1">
      <c r="A285" s="1150"/>
      <c r="B285" s="823">
        <v>15</v>
      </c>
      <c r="C285" s="373" t="s">
        <v>2319</v>
      </c>
      <c r="D285" s="374">
        <f>+VLOOKUP(E285,Codigos!$A$1:$B$1123,2,0)</f>
        <v>15814</v>
      </c>
      <c r="E285" s="1113" t="s">
        <v>1786</v>
      </c>
      <c r="F285" s="1104">
        <v>1</v>
      </c>
      <c r="G285" s="375">
        <v>100</v>
      </c>
      <c r="H285" s="1062">
        <f>CEILING(G285,'Parametros Generales'!$C$8)</f>
        <v>100</v>
      </c>
      <c r="I285" s="1057" t="s">
        <v>215</v>
      </c>
      <c r="J285" s="1058">
        <v>100</v>
      </c>
      <c r="K285" s="1070" t="str">
        <f t="shared" si="22"/>
        <v>Ok</v>
      </c>
      <c r="L285" s="1077">
        <f t="shared" si="23"/>
        <v>0</v>
      </c>
      <c r="M285" s="1091">
        <f>+H285/'Parametros Generales'!$C$8</f>
        <v>4</v>
      </c>
      <c r="N285" s="1098"/>
      <c r="O285" s="1098"/>
      <c r="P285" s="1098"/>
      <c r="Q285" s="1098"/>
      <c r="R285" s="1098">
        <f>+(M285/'Parametros Generales'!$C$9)</f>
        <v>1</v>
      </c>
      <c r="S285" s="395"/>
      <c r="T285" s="395"/>
      <c r="U285" s="395"/>
      <c r="V285" s="396"/>
      <c r="W285" s="376">
        <f>+R285*'Componentes T.H.'!$Q$9*'Parametros Generales'!$C$6</f>
        <v>5018507.0710000005</v>
      </c>
      <c r="X285" s="376">
        <f>(+VLOOKUP(C285,'Transporte y Viaticos'!$B$87:$L$120,2,0)*'Parametros Generales'!$C$7*R285)*(2/3)</f>
        <v>568773.08304965706</v>
      </c>
      <c r="Y285" s="417"/>
      <c r="Z285" s="417"/>
      <c r="AA285" s="417"/>
      <c r="AB285" s="417">
        <f>+M285*'Parametros Generales'!$C$6*'Parametros Generales'!$J$9</f>
        <v>1947636.3636363642</v>
      </c>
      <c r="AC285" s="417">
        <f>+H285*'Parametros Generales'!$J$10*'Parametros Generales'!$C$6*'Parametros Generales'!$C$11</f>
        <v>7369249.3837008122</v>
      </c>
      <c r="AD285" s="417"/>
      <c r="AE285" s="417"/>
      <c r="AF285" s="417"/>
      <c r="AG285" s="417"/>
      <c r="AH285" s="417"/>
      <c r="AI285" s="417"/>
      <c r="AJ285" s="417"/>
      <c r="AK285" s="436"/>
      <c r="AL285" s="822"/>
    </row>
    <row r="286" spans="1:38" s="33" customFormat="1" hidden="1" outlineLevel="1">
      <c r="A286" s="1150"/>
      <c r="B286" s="823">
        <v>15</v>
      </c>
      <c r="C286" s="373" t="s">
        <v>2319</v>
      </c>
      <c r="D286" s="374">
        <f>+VLOOKUP(E286,Codigos!$A$1:$B$1123,2,0)</f>
        <v>15820</v>
      </c>
      <c r="E286" s="1113" t="s">
        <v>1787</v>
      </c>
      <c r="F286" s="1104">
        <v>1</v>
      </c>
      <c r="G286" s="375">
        <v>100</v>
      </c>
      <c r="H286" s="1062">
        <f>CEILING(G286,'Parametros Generales'!$C$8)</f>
        <v>100</v>
      </c>
      <c r="I286" s="1057" t="s">
        <v>902</v>
      </c>
      <c r="J286" s="1058">
        <v>100</v>
      </c>
      <c r="K286" s="1070" t="str">
        <f t="shared" si="22"/>
        <v>Ok</v>
      </c>
      <c r="L286" s="1077">
        <f t="shared" si="23"/>
        <v>0</v>
      </c>
      <c r="M286" s="1091">
        <f>+H286/'Parametros Generales'!$C$8</f>
        <v>4</v>
      </c>
      <c r="N286" s="1098"/>
      <c r="O286" s="1098"/>
      <c r="P286" s="1098"/>
      <c r="Q286" s="1098"/>
      <c r="R286" s="1098">
        <f>+(M286/'Parametros Generales'!$C$9)</f>
        <v>1</v>
      </c>
      <c r="S286" s="395"/>
      <c r="T286" s="395"/>
      <c r="U286" s="395"/>
      <c r="V286" s="396"/>
      <c r="W286" s="376">
        <f>+R286*'Componentes T.H.'!$Q$9*'Parametros Generales'!$C$6</f>
        <v>5018507.0710000005</v>
      </c>
      <c r="X286" s="376">
        <f>(+VLOOKUP(C286,'Transporte y Viaticos'!$B$87:$L$120,2,0)*'Parametros Generales'!$C$7*R286)*(2/3)</f>
        <v>568773.08304965706</v>
      </c>
      <c r="Y286" s="417"/>
      <c r="Z286" s="417"/>
      <c r="AA286" s="417"/>
      <c r="AB286" s="417">
        <f>+M286*'Parametros Generales'!$C$6*'Parametros Generales'!$J$9</f>
        <v>1947636.3636363642</v>
      </c>
      <c r="AC286" s="417">
        <f>+H286*'Parametros Generales'!$J$10*'Parametros Generales'!$C$6*'Parametros Generales'!$C$11</f>
        <v>7369249.3837008122</v>
      </c>
      <c r="AD286" s="417"/>
      <c r="AE286" s="417"/>
      <c r="AF286" s="417"/>
      <c r="AG286" s="417"/>
      <c r="AH286" s="417"/>
      <c r="AI286" s="417"/>
      <c r="AJ286" s="417"/>
      <c r="AK286" s="436"/>
      <c r="AL286" s="822"/>
    </row>
    <row r="287" spans="1:38" s="33" customFormat="1" hidden="1" outlineLevel="1">
      <c r="A287" s="1150"/>
      <c r="B287" s="823">
        <v>15</v>
      </c>
      <c r="C287" s="373" t="s">
        <v>2319</v>
      </c>
      <c r="D287" s="374">
        <f>+VLOOKUP(E287,Codigos!$A$1:$B$1123,2,0)</f>
        <v>15835</v>
      </c>
      <c r="E287" s="1113" t="s">
        <v>1788</v>
      </c>
      <c r="F287" s="1104">
        <v>1</v>
      </c>
      <c r="G287" s="375">
        <v>50</v>
      </c>
      <c r="H287" s="1062">
        <f>CEILING(G287,'Parametros Generales'!$C$8)</f>
        <v>50</v>
      </c>
      <c r="I287" s="1057" t="s">
        <v>905</v>
      </c>
      <c r="J287" s="1058">
        <v>50</v>
      </c>
      <c r="K287" s="1070" t="str">
        <f t="shared" si="22"/>
        <v>Ok</v>
      </c>
      <c r="L287" s="1077">
        <f t="shared" si="23"/>
        <v>0</v>
      </c>
      <c r="M287" s="1091">
        <f>+H287/'Parametros Generales'!$C$8</f>
        <v>2</v>
      </c>
      <c r="N287" s="1098"/>
      <c r="O287" s="1098"/>
      <c r="P287" s="1098"/>
      <c r="Q287" s="1098"/>
      <c r="R287" s="1098">
        <f>+(M287/'Parametros Generales'!$C$9)</f>
        <v>0.5</v>
      </c>
      <c r="S287" s="395"/>
      <c r="T287" s="395"/>
      <c r="U287" s="395"/>
      <c r="V287" s="396"/>
      <c r="W287" s="376">
        <f>+R287*'Componentes T.H.'!$Q$9*'Parametros Generales'!$C$6</f>
        <v>2509253.5355000002</v>
      </c>
      <c r="X287" s="376">
        <f>(+VLOOKUP(C287,'Transporte y Viaticos'!$B$87:$L$120,2,0)*'Parametros Generales'!$C$7*R287)*(2/3)</f>
        <v>284386.54152482853</v>
      </c>
      <c r="Y287" s="417"/>
      <c r="Z287" s="417"/>
      <c r="AA287" s="417"/>
      <c r="AB287" s="417">
        <f>+M287*'Parametros Generales'!$C$6*'Parametros Generales'!$J$9</f>
        <v>973818.18181818211</v>
      </c>
      <c r="AC287" s="417">
        <f>+H287*'Parametros Generales'!$J$10*'Parametros Generales'!$C$6*'Parametros Generales'!$C$11</f>
        <v>3684624.6918504061</v>
      </c>
      <c r="AD287" s="417"/>
      <c r="AE287" s="417"/>
      <c r="AF287" s="417"/>
      <c r="AG287" s="417"/>
      <c r="AH287" s="417"/>
      <c r="AI287" s="417"/>
      <c r="AJ287" s="417"/>
      <c r="AK287" s="436"/>
      <c r="AL287" s="822"/>
    </row>
    <row r="288" spans="1:38" s="33" customFormat="1" hidden="1" outlineLevel="1">
      <c r="A288" s="1150"/>
      <c r="B288" s="823">
        <v>15</v>
      </c>
      <c r="C288" s="373" t="s">
        <v>2319</v>
      </c>
      <c r="D288" s="374">
        <f>+VLOOKUP(E288,Codigos!$A$1:$B$1123,2,0)</f>
        <v>15837</v>
      </c>
      <c r="E288" s="1113" t="s">
        <v>1789</v>
      </c>
      <c r="F288" s="1104">
        <v>1</v>
      </c>
      <c r="G288" s="375">
        <v>100</v>
      </c>
      <c r="H288" s="1062">
        <f>CEILING(G288,'Parametros Generales'!$C$8)</f>
        <v>100</v>
      </c>
      <c r="I288" s="1057" t="s">
        <v>906</v>
      </c>
      <c r="J288" s="1058">
        <v>100</v>
      </c>
      <c r="K288" s="1070" t="str">
        <f t="shared" si="22"/>
        <v>Ok</v>
      </c>
      <c r="L288" s="1077">
        <f t="shared" si="23"/>
        <v>0</v>
      </c>
      <c r="M288" s="1091">
        <f>+H288/'Parametros Generales'!$C$8</f>
        <v>4</v>
      </c>
      <c r="N288" s="1098"/>
      <c r="O288" s="1098"/>
      <c r="P288" s="1098"/>
      <c r="Q288" s="1098"/>
      <c r="R288" s="1098">
        <f>+(M288/'Parametros Generales'!$C$9)</f>
        <v>1</v>
      </c>
      <c r="S288" s="395"/>
      <c r="T288" s="395"/>
      <c r="U288" s="395"/>
      <c r="V288" s="396"/>
      <c r="W288" s="376">
        <f>+R288*'Componentes T.H.'!$Q$9*'Parametros Generales'!$C$6</f>
        <v>5018507.0710000005</v>
      </c>
      <c r="X288" s="376">
        <f>(+VLOOKUP(C288,'Transporte y Viaticos'!$B$87:$L$120,2,0)*'Parametros Generales'!$C$7*R288)*(2/3)</f>
        <v>568773.08304965706</v>
      </c>
      <c r="Y288" s="417"/>
      <c r="Z288" s="417"/>
      <c r="AA288" s="417"/>
      <c r="AB288" s="417">
        <f>+M288*'Parametros Generales'!$C$6*'Parametros Generales'!$J$9</f>
        <v>1947636.3636363642</v>
      </c>
      <c r="AC288" s="417">
        <f>+H288*'Parametros Generales'!$J$10*'Parametros Generales'!$C$6*'Parametros Generales'!$C$11</f>
        <v>7369249.3837008122</v>
      </c>
      <c r="AD288" s="417"/>
      <c r="AE288" s="417"/>
      <c r="AF288" s="417"/>
      <c r="AG288" s="417"/>
      <c r="AH288" s="417"/>
      <c r="AI288" s="417"/>
      <c r="AJ288" s="417"/>
      <c r="AK288" s="436"/>
      <c r="AL288" s="822"/>
    </row>
    <row r="289" spans="1:38" s="33" customFormat="1" hidden="1" outlineLevel="1">
      <c r="A289" s="1150"/>
      <c r="B289" s="823">
        <v>15</v>
      </c>
      <c r="C289" s="373" t="s">
        <v>2319</v>
      </c>
      <c r="D289" s="374">
        <f>+VLOOKUP(E289,Codigos!$A$1:$B$1123,2,0)</f>
        <v>15839</v>
      </c>
      <c r="E289" s="1113" t="s">
        <v>1790</v>
      </c>
      <c r="F289" s="1104">
        <v>1</v>
      </c>
      <c r="G289" s="375">
        <v>50</v>
      </c>
      <c r="H289" s="1062">
        <f>CEILING(G289,'Parametros Generales'!$C$8)</f>
        <v>50</v>
      </c>
      <c r="I289" s="1057" t="s">
        <v>907</v>
      </c>
      <c r="J289" s="1058">
        <v>50</v>
      </c>
      <c r="K289" s="1070" t="str">
        <f t="shared" si="22"/>
        <v>Ok</v>
      </c>
      <c r="L289" s="1077">
        <f t="shared" si="23"/>
        <v>0</v>
      </c>
      <c r="M289" s="1091">
        <f>+H289/'Parametros Generales'!$C$8</f>
        <v>2</v>
      </c>
      <c r="N289" s="1098"/>
      <c r="O289" s="1098"/>
      <c r="P289" s="1098"/>
      <c r="Q289" s="1098"/>
      <c r="R289" s="1098">
        <f>+(M289/'Parametros Generales'!$C$9)</f>
        <v>0.5</v>
      </c>
      <c r="S289" s="395"/>
      <c r="T289" s="395"/>
      <c r="U289" s="395"/>
      <c r="V289" s="396"/>
      <c r="W289" s="376">
        <f>+R289*'Componentes T.H.'!$Q$9*'Parametros Generales'!$C$6</f>
        <v>2509253.5355000002</v>
      </c>
      <c r="X289" s="376">
        <f>(+VLOOKUP(C289,'Transporte y Viaticos'!$B$87:$L$120,2,0)*'Parametros Generales'!$C$7*R289)*(2/3)</f>
        <v>284386.54152482853</v>
      </c>
      <c r="Y289" s="417"/>
      <c r="Z289" s="417"/>
      <c r="AA289" s="417"/>
      <c r="AB289" s="417">
        <f>+M289*'Parametros Generales'!$C$6*'Parametros Generales'!$J$9</f>
        <v>973818.18181818211</v>
      </c>
      <c r="AC289" s="417">
        <f>+H289*'Parametros Generales'!$J$10*'Parametros Generales'!$C$6*'Parametros Generales'!$C$11</f>
        <v>3684624.6918504061</v>
      </c>
      <c r="AD289" s="417"/>
      <c r="AE289" s="417"/>
      <c r="AF289" s="417"/>
      <c r="AG289" s="417"/>
      <c r="AH289" s="417"/>
      <c r="AI289" s="417"/>
      <c r="AJ289" s="417"/>
      <c r="AK289" s="436"/>
      <c r="AL289" s="822"/>
    </row>
    <row r="290" spans="1:38" s="33" customFormat="1" hidden="1" outlineLevel="1">
      <c r="A290" s="1150"/>
      <c r="B290" s="823">
        <v>15</v>
      </c>
      <c r="C290" s="373" t="s">
        <v>2319</v>
      </c>
      <c r="D290" s="374">
        <f>+VLOOKUP(E290,Codigos!$A$1:$B$1123,2,0)</f>
        <v>15861</v>
      </c>
      <c r="E290" s="1113" t="s">
        <v>1791</v>
      </c>
      <c r="F290" s="1104">
        <v>1</v>
      </c>
      <c r="G290" s="375">
        <v>100</v>
      </c>
      <c r="H290" s="1062">
        <f>CEILING(G290,'Parametros Generales'!$C$8)</f>
        <v>100</v>
      </c>
      <c r="I290" s="1057" t="s">
        <v>909</v>
      </c>
      <c r="J290" s="1058">
        <v>100</v>
      </c>
      <c r="K290" s="1070" t="str">
        <f t="shared" si="22"/>
        <v>Ok</v>
      </c>
      <c r="L290" s="1077">
        <f t="shared" si="23"/>
        <v>0</v>
      </c>
      <c r="M290" s="1091">
        <f>+H290/'Parametros Generales'!$C$8</f>
        <v>4</v>
      </c>
      <c r="N290" s="1098"/>
      <c r="O290" s="1098"/>
      <c r="P290" s="1098"/>
      <c r="Q290" s="1098"/>
      <c r="R290" s="1098">
        <f>+(M290/'Parametros Generales'!$C$9)</f>
        <v>1</v>
      </c>
      <c r="S290" s="395"/>
      <c r="T290" s="395"/>
      <c r="U290" s="395"/>
      <c r="V290" s="396"/>
      <c r="W290" s="376">
        <f>+R290*'Componentes T.H.'!$Q$9*'Parametros Generales'!$C$6</f>
        <v>5018507.0710000005</v>
      </c>
      <c r="X290" s="376">
        <f>(+VLOOKUP(C290,'Transporte y Viaticos'!$B$87:$L$120,2,0)*'Parametros Generales'!$C$7*R290)*(2/3)</f>
        <v>568773.08304965706</v>
      </c>
      <c r="Y290" s="417"/>
      <c r="Z290" s="417"/>
      <c r="AA290" s="417"/>
      <c r="AB290" s="417">
        <f>+M290*'Parametros Generales'!$C$6*'Parametros Generales'!$J$9</f>
        <v>1947636.3636363642</v>
      </c>
      <c r="AC290" s="417">
        <f>+H290*'Parametros Generales'!$J$10*'Parametros Generales'!$C$6*'Parametros Generales'!$C$11</f>
        <v>7369249.3837008122</v>
      </c>
      <c r="AD290" s="417"/>
      <c r="AE290" s="417"/>
      <c r="AF290" s="417"/>
      <c r="AG290" s="417"/>
      <c r="AH290" s="417"/>
      <c r="AI290" s="417"/>
      <c r="AJ290" s="417"/>
      <c r="AK290" s="436"/>
      <c r="AL290" s="822"/>
    </row>
    <row r="291" spans="1:38" s="33" customFormat="1" hidden="1" outlineLevel="1">
      <c r="A291" s="1150"/>
      <c r="B291" s="823">
        <v>15</v>
      </c>
      <c r="C291" s="373" t="s">
        <v>2319</v>
      </c>
      <c r="D291" s="374">
        <f>+VLOOKUP(E291,Codigos!$A$1:$B$1123,2,0)</f>
        <v>15407</v>
      </c>
      <c r="E291" s="1113" t="s">
        <v>1792</v>
      </c>
      <c r="F291" s="1104">
        <v>1</v>
      </c>
      <c r="G291" s="375">
        <v>200</v>
      </c>
      <c r="H291" s="1062">
        <f>CEILING(G291,'Parametros Generales'!$C$8)</f>
        <v>200</v>
      </c>
      <c r="I291" s="1057" t="s">
        <v>216</v>
      </c>
      <c r="J291" s="1058">
        <v>200</v>
      </c>
      <c r="K291" s="1070" t="str">
        <f t="shared" si="22"/>
        <v>Ok</v>
      </c>
      <c r="L291" s="1077">
        <f t="shared" si="23"/>
        <v>0</v>
      </c>
      <c r="M291" s="1091">
        <f>+H291/'Parametros Generales'!$C$8</f>
        <v>8</v>
      </c>
      <c r="N291" s="1098"/>
      <c r="O291" s="1098"/>
      <c r="P291" s="1098"/>
      <c r="Q291" s="1098"/>
      <c r="R291" s="1098">
        <f>+(M291/'Parametros Generales'!$C$9)</f>
        <v>2</v>
      </c>
      <c r="S291" s="395"/>
      <c r="T291" s="395"/>
      <c r="U291" s="395"/>
      <c r="V291" s="396"/>
      <c r="W291" s="376">
        <f>+R291*'Componentes T.H.'!$Q$9*'Parametros Generales'!$C$6</f>
        <v>10037014.142000001</v>
      </c>
      <c r="X291" s="376">
        <f>(+VLOOKUP(C291,'Transporte y Viaticos'!$B$87:$L$120,2,0)*'Parametros Generales'!$C$7*R291)*(2/3)</f>
        <v>1137546.1660993141</v>
      </c>
      <c r="Y291" s="417"/>
      <c r="Z291" s="417"/>
      <c r="AA291" s="417"/>
      <c r="AB291" s="417">
        <f>+M291*'Parametros Generales'!$C$6*'Parametros Generales'!$J$9</f>
        <v>3895272.7272727285</v>
      </c>
      <c r="AC291" s="417">
        <f>+H291*'Parametros Generales'!$J$10*'Parametros Generales'!$C$6*'Parametros Generales'!$C$11</f>
        <v>14738498.767401624</v>
      </c>
      <c r="AD291" s="417"/>
      <c r="AE291" s="417"/>
      <c r="AF291" s="417"/>
      <c r="AG291" s="417"/>
      <c r="AH291" s="417"/>
      <c r="AI291" s="417"/>
      <c r="AJ291" s="417"/>
      <c r="AK291" s="436"/>
      <c r="AL291" s="822"/>
    </row>
    <row r="292" spans="1:38" s="33" customFormat="1" hidden="1" outlineLevel="1">
      <c r="A292" s="1150"/>
      <c r="B292" s="823">
        <v>15</v>
      </c>
      <c r="C292" s="373" t="str">
        <f t="shared" ref="C292:C316" si="24">+C291</f>
        <v>BOYACÁ</v>
      </c>
      <c r="D292" s="374"/>
      <c r="E292" s="1113"/>
      <c r="F292" s="1104"/>
      <c r="G292" s="375"/>
      <c r="H292" s="1062"/>
      <c r="I292" s="1057"/>
      <c r="J292" s="1058"/>
      <c r="K292" s="1070" t="str">
        <f t="shared" si="22"/>
        <v>Ok</v>
      </c>
      <c r="L292" s="1077">
        <f t="shared" si="23"/>
        <v>0</v>
      </c>
      <c r="M292" s="1091">
        <f>+H292/'Parametros Generales'!$C$8</f>
        <v>0</v>
      </c>
      <c r="N292" s="1098"/>
      <c r="O292" s="1098"/>
      <c r="P292" s="1098"/>
      <c r="Q292" s="1098"/>
      <c r="R292" s="1098">
        <f>+(M292/'Parametros Generales'!$C$9)</f>
        <v>0</v>
      </c>
      <c r="S292" s="395"/>
      <c r="T292" s="395"/>
      <c r="U292" s="395"/>
      <c r="V292" s="396"/>
      <c r="W292" s="376">
        <f>+R292*'Componentes T.H.'!$Q$9*'Parametros Generales'!$C$6</f>
        <v>0</v>
      </c>
      <c r="X292" s="376">
        <f>(+VLOOKUP(C292,'Transporte y Viaticos'!$B$87:$L$120,2,0)*'Parametros Generales'!$C$7*R292)*(2/3)</f>
        <v>0</v>
      </c>
      <c r="Y292" s="417"/>
      <c r="Z292" s="417"/>
      <c r="AA292" s="417"/>
      <c r="AB292" s="417">
        <f>+M292*'Parametros Generales'!$C$6*'Parametros Generales'!$J$9</f>
        <v>0</v>
      </c>
      <c r="AC292" s="417">
        <f>+H292*'Parametros Generales'!$J$10*'Parametros Generales'!$C$6*'Parametros Generales'!$C$11</f>
        <v>0</v>
      </c>
      <c r="AD292" s="417"/>
      <c r="AE292" s="417"/>
      <c r="AF292" s="417"/>
      <c r="AG292" s="417"/>
      <c r="AH292" s="417"/>
      <c r="AI292" s="417"/>
      <c r="AJ292" s="417"/>
      <c r="AK292" s="436"/>
      <c r="AL292" s="822"/>
    </row>
    <row r="293" spans="1:38" s="33" customFormat="1" hidden="1" outlineLevel="1">
      <c r="A293" s="1150"/>
      <c r="B293" s="823">
        <v>15</v>
      </c>
      <c r="C293" s="373" t="str">
        <f t="shared" si="24"/>
        <v>BOYACÁ</v>
      </c>
      <c r="D293" s="374"/>
      <c r="E293" s="1113"/>
      <c r="F293" s="1104"/>
      <c r="G293" s="375"/>
      <c r="H293" s="1062"/>
      <c r="I293" s="1057"/>
      <c r="J293" s="1058"/>
      <c r="K293" s="1070" t="str">
        <f t="shared" si="22"/>
        <v>Ok</v>
      </c>
      <c r="L293" s="1077">
        <f t="shared" si="23"/>
        <v>0</v>
      </c>
      <c r="M293" s="1091">
        <f>+H293/'Parametros Generales'!$C$8</f>
        <v>0</v>
      </c>
      <c r="N293" s="1098"/>
      <c r="O293" s="1098"/>
      <c r="P293" s="1098"/>
      <c r="Q293" s="1098"/>
      <c r="R293" s="1098">
        <f>+(M293/'Parametros Generales'!$C$9)</f>
        <v>0</v>
      </c>
      <c r="S293" s="395"/>
      <c r="T293" s="395"/>
      <c r="U293" s="395"/>
      <c r="V293" s="396"/>
      <c r="W293" s="376">
        <f>+R293*'Componentes T.H.'!$Q$9*'Parametros Generales'!$C$6</f>
        <v>0</v>
      </c>
      <c r="X293" s="376">
        <f>(+VLOOKUP(C293,'Transporte y Viaticos'!$B$87:$L$120,2,0)*'Parametros Generales'!$C$7*R293)*(2/3)</f>
        <v>0</v>
      </c>
      <c r="Y293" s="417"/>
      <c r="Z293" s="417"/>
      <c r="AA293" s="417"/>
      <c r="AB293" s="417">
        <f>+M293*'Parametros Generales'!$C$6*'Parametros Generales'!$J$9</f>
        <v>0</v>
      </c>
      <c r="AC293" s="417">
        <f>+H293*'Parametros Generales'!$J$10*'Parametros Generales'!$C$6*'Parametros Generales'!$C$11</f>
        <v>0</v>
      </c>
      <c r="AD293" s="417"/>
      <c r="AE293" s="417"/>
      <c r="AF293" s="417"/>
      <c r="AG293" s="417"/>
      <c r="AH293" s="417"/>
      <c r="AI293" s="417"/>
      <c r="AJ293" s="417"/>
      <c r="AK293" s="436"/>
      <c r="AL293" s="822"/>
    </row>
    <row r="294" spans="1:38" s="33" customFormat="1" hidden="1" outlineLevel="1">
      <c r="A294" s="1150"/>
      <c r="B294" s="823">
        <v>15</v>
      </c>
      <c r="C294" s="373" t="str">
        <f t="shared" si="24"/>
        <v>BOYACÁ</v>
      </c>
      <c r="D294" s="374"/>
      <c r="E294" s="1113"/>
      <c r="F294" s="1104"/>
      <c r="G294" s="375"/>
      <c r="H294" s="1062"/>
      <c r="I294" s="1057"/>
      <c r="J294" s="1058"/>
      <c r="K294" s="1070" t="str">
        <f t="shared" si="22"/>
        <v>Ok</v>
      </c>
      <c r="L294" s="1077">
        <f t="shared" si="23"/>
        <v>0</v>
      </c>
      <c r="M294" s="1091">
        <f>+H294/'Parametros Generales'!$C$8</f>
        <v>0</v>
      </c>
      <c r="N294" s="1098"/>
      <c r="O294" s="1098"/>
      <c r="P294" s="1098"/>
      <c r="Q294" s="1098"/>
      <c r="R294" s="1098">
        <f>+(M294/'Parametros Generales'!$C$9)</f>
        <v>0</v>
      </c>
      <c r="S294" s="395"/>
      <c r="T294" s="395"/>
      <c r="U294" s="395"/>
      <c r="V294" s="396"/>
      <c r="W294" s="376">
        <f>+R294*'Componentes T.H.'!$Q$9*'Parametros Generales'!$C$6</f>
        <v>0</v>
      </c>
      <c r="X294" s="376">
        <f>(+VLOOKUP(C294,'Transporte y Viaticos'!$B$87:$L$120,2,0)*'Parametros Generales'!$C$7*R294)*(2/3)</f>
        <v>0</v>
      </c>
      <c r="Y294" s="417"/>
      <c r="Z294" s="417"/>
      <c r="AA294" s="417"/>
      <c r="AB294" s="417">
        <f>+M294*'Parametros Generales'!$C$6*'Parametros Generales'!$J$9</f>
        <v>0</v>
      </c>
      <c r="AC294" s="417">
        <f>+H294*'Parametros Generales'!$J$10*'Parametros Generales'!$C$6*'Parametros Generales'!$C$11</f>
        <v>0</v>
      </c>
      <c r="AD294" s="417"/>
      <c r="AE294" s="417"/>
      <c r="AF294" s="417"/>
      <c r="AG294" s="417"/>
      <c r="AH294" s="417"/>
      <c r="AI294" s="417"/>
      <c r="AJ294" s="417"/>
      <c r="AK294" s="436"/>
      <c r="AL294" s="822"/>
    </row>
    <row r="295" spans="1:38" s="33" customFormat="1" hidden="1" outlineLevel="1">
      <c r="A295" s="1150"/>
      <c r="B295" s="823">
        <v>15</v>
      </c>
      <c r="C295" s="373" t="str">
        <f t="shared" si="24"/>
        <v>BOYACÁ</v>
      </c>
      <c r="D295" s="374"/>
      <c r="E295" s="1113"/>
      <c r="F295" s="1104"/>
      <c r="G295" s="375"/>
      <c r="H295" s="1062"/>
      <c r="I295" s="1057"/>
      <c r="J295" s="1058"/>
      <c r="K295" s="1070" t="str">
        <f t="shared" si="22"/>
        <v>Ok</v>
      </c>
      <c r="L295" s="1077">
        <f t="shared" si="23"/>
        <v>0</v>
      </c>
      <c r="M295" s="1091">
        <f>+H295/'Parametros Generales'!$C$8</f>
        <v>0</v>
      </c>
      <c r="N295" s="1098"/>
      <c r="O295" s="1098"/>
      <c r="P295" s="1098"/>
      <c r="Q295" s="1098"/>
      <c r="R295" s="1098">
        <f>+(M295/'Parametros Generales'!$C$9)</f>
        <v>0</v>
      </c>
      <c r="S295" s="395"/>
      <c r="T295" s="395"/>
      <c r="U295" s="395"/>
      <c r="V295" s="396"/>
      <c r="W295" s="376">
        <f>+R295*'Componentes T.H.'!$Q$9*'Parametros Generales'!$C$6</f>
        <v>0</v>
      </c>
      <c r="X295" s="376">
        <f>(+VLOOKUP(C295,'Transporte y Viaticos'!$B$87:$L$120,2,0)*'Parametros Generales'!$C$7*R295)*(2/3)</f>
        <v>0</v>
      </c>
      <c r="Y295" s="417"/>
      <c r="Z295" s="417"/>
      <c r="AA295" s="417"/>
      <c r="AB295" s="417">
        <f>+M295*'Parametros Generales'!$C$6*'Parametros Generales'!$J$9</f>
        <v>0</v>
      </c>
      <c r="AC295" s="417">
        <f>+H295*'Parametros Generales'!$J$10*'Parametros Generales'!$C$6*'Parametros Generales'!$C$11</f>
        <v>0</v>
      </c>
      <c r="AD295" s="417"/>
      <c r="AE295" s="417"/>
      <c r="AF295" s="417"/>
      <c r="AG295" s="417"/>
      <c r="AH295" s="417"/>
      <c r="AI295" s="417"/>
      <c r="AJ295" s="417"/>
      <c r="AK295" s="436"/>
      <c r="AL295" s="822"/>
    </row>
    <row r="296" spans="1:38" s="33" customFormat="1" hidden="1" outlineLevel="1">
      <c r="A296" s="1150"/>
      <c r="B296" s="823">
        <v>15</v>
      </c>
      <c r="C296" s="373" t="str">
        <f t="shared" si="24"/>
        <v>BOYACÁ</v>
      </c>
      <c r="D296" s="374"/>
      <c r="E296" s="1113"/>
      <c r="F296" s="1104"/>
      <c r="G296" s="375"/>
      <c r="H296" s="1062"/>
      <c r="I296" s="1057"/>
      <c r="J296" s="1058"/>
      <c r="K296" s="1070" t="str">
        <f t="shared" si="22"/>
        <v>Ok</v>
      </c>
      <c r="L296" s="1077">
        <f t="shared" si="23"/>
        <v>0</v>
      </c>
      <c r="M296" s="1091">
        <f>+H296/'Parametros Generales'!$C$8</f>
        <v>0</v>
      </c>
      <c r="N296" s="1098"/>
      <c r="O296" s="1098"/>
      <c r="P296" s="1098"/>
      <c r="Q296" s="1098"/>
      <c r="R296" s="1098">
        <f>+(M296/'Parametros Generales'!$C$9)</f>
        <v>0</v>
      </c>
      <c r="S296" s="395"/>
      <c r="T296" s="395"/>
      <c r="U296" s="395"/>
      <c r="V296" s="396"/>
      <c r="W296" s="376">
        <f>+R296*'Componentes T.H.'!$Q$9*'Parametros Generales'!$C$6</f>
        <v>0</v>
      </c>
      <c r="X296" s="376">
        <f>(+VLOOKUP(C296,'Transporte y Viaticos'!$B$87:$L$120,2,0)*'Parametros Generales'!$C$7*R296)*(2/3)</f>
        <v>0</v>
      </c>
      <c r="Y296" s="417"/>
      <c r="Z296" s="417"/>
      <c r="AA296" s="417"/>
      <c r="AB296" s="417">
        <f>+M296*'Parametros Generales'!$C$6*'Parametros Generales'!$J$9</f>
        <v>0</v>
      </c>
      <c r="AC296" s="417">
        <f>+H296*'Parametros Generales'!$J$10*'Parametros Generales'!$C$6*'Parametros Generales'!$C$11</f>
        <v>0</v>
      </c>
      <c r="AD296" s="417"/>
      <c r="AE296" s="417"/>
      <c r="AF296" s="417"/>
      <c r="AG296" s="417"/>
      <c r="AH296" s="417"/>
      <c r="AI296" s="417"/>
      <c r="AJ296" s="417"/>
      <c r="AK296" s="436"/>
      <c r="AL296" s="822"/>
    </row>
    <row r="297" spans="1:38" s="33" customFormat="1" hidden="1" outlineLevel="1">
      <c r="A297" s="1150"/>
      <c r="B297" s="823">
        <v>15</v>
      </c>
      <c r="C297" s="373" t="str">
        <f t="shared" si="24"/>
        <v>BOYACÁ</v>
      </c>
      <c r="D297" s="374"/>
      <c r="E297" s="1113"/>
      <c r="F297" s="1104"/>
      <c r="G297" s="375"/>
      <c r="H297" s="1062"/>
      <c r="I297" s="1057"/>
      <c r="J297" s="1058"/>
      <c r="K297" s="1070" t="str">
        <f t="shared" si="22"/>
        <v>Ok</v>
      </c>
      <c r="L297" s="1077">
        <f t="shared" si="23"/>
        <v>0</v>
      </c>
      <c r="M297" s="1091">
        <f>+H297/'Parametros Generales'!$C$8</f>
        <v>0</v>
      </c>
      <c r="N297" s="1098"/>
      <c r="O297" s="1098"/>
      <c r="P297" s="1098"/>
      <c r="Q297" s="1098"/>
      <c r="R297" s="1098">
        <f>+(M297/'Parametros Generales'!$C$9)</f>
        <v>0</v>
      </c>
      <c r="S297" s="395"/>
      <c r="T297" s="395"/>
      <c r="U297" s="395"/>
      <c r="V297" s="396"/>
      <c r="W297" s="376">
        <f>+R297*'Componentes T.H.'!$Q$9*'Parametros Generales'!$C$6</f>
        <v>0</v>
      </c>
      <c r="X297" s="376">
        <f>(+VLOOKUP(C297,'Transporte y Viaticos'!$B$87:$L$120,2,0)*'Parametros Generales'!$C$7*R297)*(2/3)</f>
        <v>0</v>
      </c>
      <c r="Y297" s="417"/>
      <c r="Z297" s="417"/>
      <c r="AA297" s="417"/>
      <c r="AB297" s="417">
        <f>+M297*'Parametros Generales'!$C$6*'Parametros Generales'!$J$9</f>
        <v>0</v>
      </c>
      <c r="AC297" s="417">
        <f>+H297*'Parametros Generales'!$J$10*'Parametros Generales'!$C$6*'Parametros Generales'!$C$11</f>
        <v>0</v>
      </c>
      <c r="AD297" s="417"/>
      <c r="AE297" s="417"/>
      <c r="AF297" s="417"/>
      <c r="AG297" s="417"/>
      <c r="AH297" s="417"/>
      <c r="AI297" s="417"/>
      <c r="AJ297" s="417"/>
      <c r="AK297" s="436"/>
      <c r="AL297" s="822"/>
    </row>
    <row r="298" spans="1:38" s="33" customFormat="1" hidden="1" outlineLevel="1">
      <c r="A298" s="1150"/>
      <c r="B298" s="823">
        <v>15</v>
      </c>
      <c r="C298" s="373" t="str">
        <f t="shared" si="24"/>
        <v>BOYACÁ</v>
      </c>
      <c r="D298" s="374"/>
      <c r="E298" s="1113"/>
      <c r="F298" s="1104"/>
      <c r="G298" s="375"/>
      <c r="H298" s="1062"/>
      <c r="I298" s="1057"/>
      <c r="J298" s="1058"/>
      <c r="K298" s="1070" t="str">
        <f t="shared" si="22"/>
        <v>Ok</v>
      </c>
      <c r="L298" s="1077">
        <f t="shared" si="23"/>
        <v>0</v>
      </c>
      <c r="M298" s="1091">
        <f>+H298/'Parametros Generales'!$C$8</f>
        <v>0</v>
      </c>
      <c r="N298" s="1098"/>
      <c r="O298" s="1098"/>
      <c r="P298" s="1098"/>
      <c r="Q298" s="1098"/>
      <c r="R298" s="1098">
        <f>+(M298/'Parametros Generales'!$C$9)</f>
        <v>0</v>
      </c>
      <c r="S298" s="395"/>
      <c r="T298" s="395"/>
      <c r="U298" s="395"/>
      <c r="V298" s="396"/>
      <c r="W298" s="376">
        <f>+R298*'Componentes T.H.'!$Q$9*'Parametros Generales'!$C$6</f>
        <v>0</v>
      </c>
      <c r="X298" s="376">
        <f>(+VLOOKUP(C298,'Transporte y Viaticos'!$B$87:$L$120,2,0)*'Parametros Generales'!$C$7*R298)*(2/3)</f>
        <v>0</v>
      </c>
      <c r="Y298" s="417"/>
      <c r="Z298" s="417"/>
      <c r="AA298" s="417"/>
      <c r="AB298" s="417">
        <f>+M298*'Parametros Generales'!$C$6*'Parametros Generales'!$J$9</f>
        <v>0</v>
      </c>
      <c r="AC298" s="417">
        <f>+H298*'Parametros Generales'!$J$10*'Parametros Generales'!$C$6*'Parametros Generales'!$C$11</f>
        <v>0</v>
      </c>
      <c r="AD298" s="417"/>
      <c r="AE298" s="417"/>
      <c r="AF298" s="417"/>
      <c r="AG298" s="417"/>
      <c r="AH298" s="417"/>
      <c r="AI298" s="417"/>
      <c r="AJ298" s="417"/>
      <c r="AK298" s="436"/>
      <c r="AL298" s="822"/>
    </row>
    <row r="299" spans="1:38" s="33" customFormat="1" hidden="1" outlineLevel="1">
      <c r="A299" s="1150"/>
      <c r="B299" s="823">
        <v>15</v>
      </c>
      <c r="C299" s="373" t="str">
        <f t="shared" si="24"/>
        <v>BOYACÁ</v>
      </c>
      <c r="D299" s="374"/>
      <c r="E299" s="1113"/>
      <c r="F299" s="1104"/>
      <c r="G299" s="375"/>
      <c r="H299" s="1062"/>
      <c r="I299" s="1057"/>
      <c r="J299" s="1058"/>
      <c r="K299" s="1070" t="str">
        <f t="shared" si="22"/>
        <v>Ok</v>
      </c>
      <c r="L299" s="1077">
        <f t="shared" si="23"/>
        <v>0</v>
      </c>
      <c r="M299" s="1091">
        <f>+H299/'Parametros Generales'!$C$8</f>
        <v>0</v>
      </c>
      <c r="N299" s="1098"/>
      <c r="O299" s="1098"/>
      <c r="P299" s="1098"/>
      <c r="Q299" s="1098"/>
      <c r="R299" s="1098">
        <f>+(M299/'Parametros Generales'!$C$9)</f>
        <v>0</v>
      </c>
      <c r="S299" s="395"/>
      <c r="T299" s="395"/>
      <c r="U299" s="395"/>
      <c r="V299" s="396"/>
      <c r="W299" s="376">
        <f>+R299*'Componentes T.H.'!$Q$9*'Parametros Generales'!$C$6</f>
        <v>0</v>
      </c>
      <c r="X299" s="376">
        <f>(+VLOOKUP(C299,'Transporte y Viaticos'!$B$87:$L$120,2,0)*'Parametros Generales'!$C$7*R299)*(2/3)</f>
        <v>0</v>
      </c>
      <c r="Y299" s="417"/>
      <c r="Z299" s="417"/>
      <c r="AA299" s="417"/>
      <c r="AB299" s="417">
        <f>+M299*'Parametros Generales'!$C$6*'Parametros Generales'!$J$9</f>
        <v>0</v>
      </c>
      <c r="AC299" s="417">
        <f>+H299*'Parametros Generales'!$J$10*'Parametros Generales'!$C$6*'Parametros Generales'!$C$11</f>
        <v>0</v>
      </c>
      <c r="AD299" s="417"/>
      <c r="AE299" s="417"/>
      <c r="AF299" s="417"/>
      <c r="AG299" s="417"/>
      <c r="AH299" s="417"/>
      <c r="AI299" s="417"/>
      <c r="AJ299" s="417"/>
      <c r="AK299" s="436"/>
      <c r="AL299" s="822"/>
    </row>
    <row r="300" spans="1:38" s="33" customFormat="1" hidden="1" outlineLevel="1">
      <c r="A300" s="1150"/>
      <c r="B300" s="823">
        <v>15</v>
      </c>
      <c r="C300" s="373" t="str">
        <f t="shared" si="24"/>
        <v>BOYACÁ</v>
      </c>
      <c r="D300" s="374"/>
      <c r="E300" s="1113"/>
      <c r="F300" s="1104"/>
      <c r="G300" s="375"/>
      <c r="H300" s="1062"/>
      <c r="I300" s="1057"/>
      <c r="J300" s="1058"/>
      <c r="K300" s="1070" t="str">
        <f t="shared" si="22"/>
        <v>Ok</v>
      </c>
      <c r="L300" s="1077">
        <f t="shared" si="23"/>
        <v>0</v>
      </c>
      <c r="M300" s="1091">
        <f>+H300/'Parametros Generales'!$C$8</f>
        <v>0</v>
      </c>
      <c r="N300" s="1098"/>
      <c r="O300" s="1098"/>
      <c r="P300" s="1098"/>
      <c r="Q300" s="1098"/>
      <c r="R300" s="1098">
        <f>+(M300/'Parametros Generales'!$C$9)</f>
        <v>0</v>
      </c>
      <c r="S300" s="395"/>
      <c r="T300" s="395"/>
      <c r="U300" s="395"/>
      <c r="V300" s="396"/>
      <c r="W300" s="376">
        <f>+R300*'Componentes T.H.'!$Q$9*'Parametros Generales'!$C$6</f>
        <v>0</v>
      </c>
      <c r="X300" s="376">
        <f>(+VLOOKUP(C300,'Transporte y Viaticos'!$B$87:$L$120,2,0)*'Parametros Generales'!$C$7*R300)*(2/3)</f>
        <v>0</v>
      </c>
      <c r="Y300" s="417"/>
      <c r="Z300" s="417"/>
      <c r="AA300" s="417"/>
      <c r="AB300" s="417">
        <f>+M300*'Parametros Generales'!$C$6*'Parametros Generales'!$J$9</f>
        <v>0</v>
      </c>
      <c r="AC300" s="417">
        <f>+H300*'Parametros Generales'!$J$10*'Parametros Generales'!$C$6*'Parametros Generales'!$C$11</f>
        <v>0</v>
      </c>
      <c r="AD300" s="417"/>
      <c r="AE300" s="417"/>
      <c r="AF300" s="417"/>
      <c r="AG300" s="417"/>
      <c r="AH300" s="417"/>
      <c r="AI300" s="417"/>
      <c r="AJ300" s="417"/>
      <c r="AK300" s="436"/>
      <c r="AL300" s="822"/>
    </row>
    <row r="301" spans="1:38" s="33" customFormat="1" hidden="1" outlineLevel="1">
      <c r="A301" s="1150"/>
      <c r="B301" s="823">
        <v>15</v>
      </c>
      <c r="C301" s="373" t="str">
        <f t="shared" si="24"/>
        <v>BOYACÁ</v>
      </c>
      <c r="D301" s="374"/>
      <c r="E301" s="1113"/>
      <c r="F301" s="1104"/>
      <c r="G301" s="375"/>
      <c r="H301" s="1062"/>
      <c r="I301" s="1057"/>
      <c r="J301" s="1058"/>
      <c r="K301" s="1070" t="str">
        <f t="shared" si="22"/>
        <v>Ok</v>
      </c>
      <c r="L301" s="1077">
        <f t="shared" si="23"/>
        <v>0</v>
      </c>
      <c r="M301" s="1091">
        <f>+H301/'Parametros Generales'!$C$8</f>
        <v>0</v>
      </c>
      <c r="N301" s="1098"/>
      <c r="O301" s="1098"/>
      <c r="P301" s="1098"/>
      <c r="Q301" s="1098"/>
      <c r="R301" s="1098">
        <f>+(M301/'Parametros Generales'!$C$9)</f>
        <v>0</v>
      </c>
      <c r="S301" s="395"/>
      <c r="T301" s="395"/>
      <c r="U301" s="395"/>
      <c r="V301" s="396"/>
      <c r="W301" s="376">
        <f>+R301*'Componentes T.H.'!$Q$9*'Parametros Generales'!$C$6</f>
        <v>0</v>
      </c>
      <c r="X301" s="376">
        <f>(+VLOOKUP(C301,'Transporte y Viaticos'!$B$87:$L$120,2,0)*'Parametros Generales'!$C$7*R301)*(2/3)</f>
        <v>0</v>
      </c>
      <c r="Y301" s="417"/>
      <c r="Z301" s="417"/>
      <c r="AA301" s="417"/>
      <c r="AB301" s="417">
        <f>+M301*'Parametros Generales'!$C$6*'Parametros Generales'!$J$9</f>
        <v>0</v>
      </c>
      <c r="AC301" s="417">
        <f>+H301*'Parametros Generales'!$J$10*'Parametros Generales'!$C$6*'Parametros Generales'!$C$11</f>
        <v>0</v>
      </c>
      <c r="AD301" s="417"/>
      <c r="AE301" s="417"/>
      <c r="AF301" s="417"/>
      <c r="AG301" s="417"/>
      <c r="AH301" s="417"/>
      <c r="AI301" s="417"/>
      <c r="AJ301" s="417"/>
      <c r="AK301" s="436"/>
      <c r="AL301" s="822"/>
    </row>
    <row r="302" spans="1:38" s="33" customFormat="1" hidden="1" outlineLevel="1">
      <c r="A302" s="1150"/>
      <c r="B302" s="823">
        <v>15</v>
      </c>
      <c r="C302" s="373" t="str">
        <f t="shared" si="24"/>
        <v>BOYACÁ</v>
      </c>
      <c r="D302" s="374"/>
      <c r="E302" s="1113"/>
      <c r="F302" s="1104"/>
      <c r="G302" s="375"/>
      <c r="H302" s="1062"/>
      <c r="I302" s="1057"/>
      <c r="J302" s="1058"/>
      <c r="K302" s="1070" t="str">
        <f t="shared" si="22"/>
        <v>Ok</v>
      </c>
      <c r="L302" s="1077">
        <f t="shared" si="23"/>
        <v>0</v>
      </c>
      <c r="M302" s="1091">
        <f>+H302/'Parametros Generales'!$C$8</f>
        <v>0</v>
      </c>
      <c r="N302" s="1098"/>
      <c r="O302" s="1098"/>
      <c r="P302" s="1098"/>
      <c r="Q302" s="1098"/>
      <c r="R302" s="1098">
        <f>+(M302/'Parametros Generales'!$C$9)</f>
        <v>0</v>
      </c>
      <c r="S302" s="395"/>
      <c r="T302" s="395"/>
      <c r="U302" s="395"/>
      <c r="V302" s="396"/>
      <c r="W302" s="376">
        <f>+R302*'Componentes T.H.'!$Q$9*'Parametros Generales'!$C$6</f>
        <v>0</v>
      </c>
      <c r="X302" s="376">
        <f>(+VLOOKUP(C302,'Transporte y Viaticos'!$B$87:$L$120,2,0)*'Parametros Generales'!$C$7*R302)*(2/3)</f>
        <v>0</v>
      </c>
      <c r="Y302" s="417"/>
      <c r="Z302" s="417"/>
      <c r="AA302" s="417"/>
      <c r="AB302" s="417">
        <f>+M302*'Parametros Generales'!$C$6*'Parametros Generales'!$J$9</f>
        <v>0</v>
      </c>
      <c r="AC302" s="417">
        <f>+H302*'Parametros Generales'!$J$10*'Parametros Generales'!$C$6*'Parametros Generales'!$C$11</f>
        <v>0</v>
      </c>
      <c r="AD302" s="417"/>
      <c r="AE302" s="417"/>
      <c r="AF302" s="417"/>
      <c r="AG302" s="417"/>
      <c r="AH302" s="417"/>
      <c r="AI302" s="417"/>
      <c r="AJ302" s="417"/>
      <c r="AK302" s="436"/>
      <c r="AL302" s="822"/>
    </row>
    <row r="303" spans="1:38" s="33" customFormat="1" hidden="1" outlineLevel="1">
      <c r="A303" s="1150"/>
      <c r="B303" s="823">
        <v>15</v>
      </c>
      <c r="C303" s="373" t="str">
        <f t="shared" si="24"/>
        <v>BOYACÁ</v>
      </c>
      <c r="D303" s="374"/>
      <c r="E303" s="1113"/>
      <c r="F303" s="1104"/>
      <c r="G303" s="375"/>
      <c r="H303" s="1062"/>
      <c r="I303" s="1057"/>
      <c r="J303" s="1058"/>
      <c r="K303" s="1070" t="str">
        <f t="shared" si="22"/>
        <v>Ok</v>
      </c>
      <c r="L303" s="1077">
        <f t="shared" si="23"/>
        <v>0</v>
      </c>
      <c r="M303" s="1091">
        <f>+H303/'Parametros Generales'!$C$8</f>
        <v>0</v>
      </c>
      <c r="N303" s="1098"/>
      <c r="O303" s="1098"/>
      <c r="P303" s="1098"/>
      <c r="Q303" s="1098"/>
      <c r="R303" s="1098">
        <f>+(M303/'Parametros Generales'!$C$9)</f>
        <v>0</v>
      </c>
      <c r="S303" s="395"/>
      <c r="T303" s="395"/>
      <c r="U303" s="395"/>
      <c r="V303" s="396"/>
      <c r="W303" s="376">
        <f>+R303*'Componentes T.H.'!$Q$9*'Parametros Generales'!$C$6</f>
        <v>0</v>
      </c>
      <c r="X303" s="376">
        <f>(+VLOOKUP(C303,'Transporte y Viaticos'!$B$87:$L$120,2,0)*'Parametros Generales'!$C$7*R303)*(2/3)</f>
        <v>0</v>
      </c>
      <c r="Y303" s="417"/>
      <c r="Z303" s="417"/>
      <c r="AA303" s="417"/>
      <c r="AB303" s="417">
        <f>+M303*'Parametros Generales'!$C$6*'Parametros Generales'!$J$9</f>
        <v>0</v>
      </c>
      <c r="AC303" s="417">
        <f>+H303*'Parametros Generales'!$J$10*'Parametros Generales'!$C$6*'Parametros Generales'!$C$11</f>
        <v>0</v>
      </c>
      <c r="AD303" s="417"/>
      <c r="AE303" s="417"/>
      <c r="AF303" s="417"/>
      <c r="AG303" s="417"/>
      <c r="AH303" s="417"/>
      <c r="AI303" s="417"/>
      <c r="AJ303" s="417"/>
      <c r="AK303" s="436"/>
      <c r="AL303" s="822"/>
    </row>
    <row r="304" spans="1:38" s="33" customFormat="1" hidden="1" outlineLevel="1">
      <c r="A304" s="1150"/>
      <c r="B304" s="823">
        <v>15</v>
      </c>
      <c r="C304" s="373" t="str">
        <f t="shared" si="24"/>
        <v>BOYACÁ</v>
      </c>
      <c r="D304" s="374"/>
      <c r="E304" s="1113"/>
      <c r="F304" s="1104"/>
      <c r="G304" s="375"/>
      <c r="H304" s="1062"/>
      <c r="I304" s="1057"/>
      <c r="J304" s="1058"/>
      <c r="K304" s="1070" t="str">
        <f t="shared" si="22"/>
        <v>Ok</v>
      </c>
      <c r="L304" s="1077">
        <f t="shared" si="23"/>
        <v>0</v>
      </c>
      <c r="M304" s="1091">
        <f>+H304/'Parametros Generales'!$C$8</f>
        <v>0</v>
      </c>
      <c r="N304" s="1098"/>
      <c r="O304" s="1098"/>
      <c r="P304" s="1098"/>
      <c r="Q304" s="1098"/>
      <c r="R304" s="1098">
        <f>+(M304/'Parametros Generales'!$C$9)</f>
        <v>0</v>
      </c>
      <c r="S304" s="395"/>
      <c r="T304" s="395"/>
      <c r="U304" s="395"/>
      <c r="V304" s="396"/>
      <c r="W304" s="376">
        <f>+R304*'Componentes T.H.'!$Q$9*'Parametros Generales'!$C$6</f>
        <v>0</v>
      </c>
      <c r="X304" s="376">
        <f>(+VLOOKUP(C304,'Transporte y Viaticos'!$B$87:$L$120,2,0)*'Parametros Generales'!$C$7*R304)*(2/3)</f>
        <v>0</v>
      </c>
      <c r="Y304" s="417"/>
      <c r="Z304" s="417"/>
      <c r="AA304" s="417"/>
      <c r="AB304" s="417">
        <f>+M304*'Parametros Generales'!$C$6*'Parametros Generales'!$J$9</f>
        <v>0</v>
      </c>
      <c r="AC304" s="417">
        <f>+H304*'Parametros Generales'!$J$10*'Parametros Generales'!$C$6*'Parametros Generales'!$C$11</f>
        <v>0</v>
      </c>
      <c r="AD304" s="417"/>
      <c r="AE304" s="417"/>
      <c r="AF304" s="417"/>
      <c r="AG304" s="417"/>
      <c r="AH304" s="417"/>
      <c r="AI304" s="417"/>
      <c r="AJ304" s="417"/>
      <c r="AK304" s="436"/>
      <c r="AL304" s="822"/>
    </row>
    <row r="305" spans="1:38" s="33" customFormat="1" hidden="1" outlineLevel="1">
      <c r="A305" s="1150"/>
      <c r="B305" s="823">
        <v>15</v>
      </c>
      <c r="C305" s="373" t="str">
        <f t="shared" si="24"/>
        <v>BOYACÁ</v>
      </c>
      <c r="D305" s="374"/>
      <c r="E305" s="1113"/>
      <c r="F305" s="1104"/>
      <c r="G305" s="375"/>
      <c r="H305" s="1062"/>
      <c r="I305" s="1057"/>
      <c r="J305" s="1058"/>
      <c r="K305" s="1070" t="str">
        <f t="shared" si="22"/>
        <v>Ok</v>
      </c>
      <c r="L305" s="1077">
        <f t="shared" si="23"/>
        <v>0</v>
      </c>
      <c r="M305" s="1091">
        <f>+H305/'Parametros Generales'!$C$8</f>
        <v>0</v>
      </c>
      <c r="N305" s="1098"/>
      <c r="O305" s="1098"/>
      <c r="P305" s="1098"/>
      <c r="Q305" s="1098"/>
      <c r="R305" s="1098">
        <f>+(M305/'Parametros Generales'!$C$9)</f>
        <v>0</v>
      </c>
      <c r="S305" s="395"/>
      <c r="T305" s="395"/>
      <c r="U305" s="395"/>
      <c r="V305" s="396"/>
      <c r="W305" s="376">
        <f>+R305*'Componentes T.H.'!$Q$9*'Parametros Generales'!$C$6</f>
        <v>0</v>
      </c>
      <c r="X305" s="376">
        <f>(+VLOOKUP(C305,'Transporte y Viaticos'!$B$87:$L$120,2,0)*'Parametros Generales'!$C$7*R305)*(2/3)</f>
        <v>0</v>
      </c>
      <c r="Y305" s="417"/>
      <c r="Z305" s="417"/>
      <c r="AA305" s="417"/>
      <c r="AB305" s="417">
        <f>+M305*'Parametros Generales'!$C$6*'Parametros Generales'!$J$9</f>
        <v>0</v>
      </c>
      <c r="AC305" s="417">
        <f>+H305*'Parametros Generales'!$J$10*'Parametros Generales'!$C$6*'Parametros Generales'!$C$11</f>
        <v>0</v>
      </c>
      <c r="AD305" s="417"/>
      <c r="AE305" s="417"/>
      <c r="AF305" s="417"/>
      <c r="AG305" s="417"/>
      <c r="AH305" s="417"/>
      <c r="AI305" s="417"/>
      <c r="AJ305" s="417"/>
      <c r="AK305" s="436"/>
      <c r="AL305" s="822"/>
    </row>
    <row r="306" spans="1:38" s="33" customFormat="1" hidden="1" outlineLevel="1">
      <c r="A306" s="1150"/>
      <c r="B306" s="823">
        <v>15</v>
      </c>
      <c r="C306" s="373" t="str">
        <f t="shared" si="24"/>
        <v>BOYACÁ</v>
      </c>
      <c r="D306" s="374"/>
      <c r="E306" s="1113"/>
      <c r="F306" s="1104"/>
      <c r="G306" s="375"/>
      <c r="H306" s="1062"/>
      <c r="I306" s="1057"/>
      <c r="J306" s="1058"/>
      <c r="K306" s="1070" t="str">
        <f t="shared" si="22"/>
        <v>Ok</v>
      </c>
      <c r="L306" s="1077">
        <f t="shared" si="23"/>
        <v>0</v>
      </c>
      <c r="M306" s="1091">
        <f>+H306/'Parametros Generales'!$C$8</f>
        <v>0</v>
      </c>
      <c r="N306" s="1098"/>
      <c r="O306" s="1098"/>
      <c r="P306" s="1098"/>
      <c r="Q306" s="1098"/>
      <c r="R306" s="1098">
        <f>+(M306/'Parametros Generales'!$C$9)</f>
        <v>0</v>
      </c>
      <c r="S306" s="395"/>
      <c r="T306" s="395"/>
      <c r="U306" s="395"/>
      <c r="V306" s="396"/>
      <c r="W306" s="376">
        <f>+R306*'Componentes T.H.'!$Q$9*'Parametros Generales'!$C$6</f>
        <v>0</v>
      </c>
      <c r="X306" s="376">
        <f>(+VLOOKUP(C306,'Transporte y Viaticos'!$B$87:$L$120,2,0)*'Parametros Generales'!$C$7*R306)*(2/3)</f>
        <v>0</v>
      </c>
      <c r="Y306" s="417"/>
      <c r="Z306" s="417"/>
      <c r="AA306" s="417"/>
      <c r="AB306" s="417">
        <f>+M306*'Parametros Generales'!$C$6*'Parametros Generales'!$J$9</f>
        <v>0</v>
      </c>
      <c r="AC306" s="417">
        <f>+H306*'Parametros Generales'!$J$10*'Parametros Generales'!$C$6*'Parametros Generales'!$C$11</f>
        <v>0</v>
      </c>
      <c r="AD306" s="417"/>
      <c r="AE306" s="417"/>
      <c r="AF306" s="417"/>
      <c r="AG306" s="417"/>
      <c r="AH306" s="417"/>
      <c r="AI306" s="417"/>
      <c r="AJ306" s="417"/>
      <c r="AK306" s="436"/>
      <c r="AL306" s="822"/>
    </row>
    <row r="307" spans="1:38" s="33" customFormat="1" hidden="1" outlineLevel="1">
      <c r="A307" s="1150"/>
      <c r="B307" s="823">
        <v>15</v>
      </c>
      <c r="C307" s="373" t="str">
        <f t="shared" si="24"/>
        <v>BOYACÁ</v>
      </c>
      <c r="D307" s="374"/>
      <c r="E307" s="1113"/>
      <c r="F307" s="1104"/>
      <c r="G307" s="375"/>
      <c r="H307" s="1062"/>
      <c r="I307" s="1057"/>
      <c r="J307" s="1058"/>
      <c r="K307" s="1070" t="str">
        <f t="shared" si="22"/>
        <v>Ok</v>
      </c>
      <c r="L307" s="1077">
        <f t="shared" si="23"/>
        <v>0</v>
      </c>
      <c r="M307" s="1091">
        <f>+H307/'Parametros Generales'!$C$8</f>
        <v>0</v>
      </c>
      <c r="N307" s="1098"/>
      <c r="O307" s="1098"/>
      <c r="P307" s="1098"/>
      <c r="Q307" s="1098"/>
      <c r="R307" s="1098">
        <f>+(M307/'Parametros Generales'!$C$9)</f>
        <v>0</v>
      </c>
      <c r="S307" s="395"/>
      <c r="T307" s="395"/>
      <c r="U307" s="395"/>
      <c r="V307" s="396"/>
      <c r="W307" s="376">
        <f>+R307*'Componentes T.H.'!$Q$9*'Parametros Generales'!$C$6</f>
        <v>0</v>
      </c>
      <c r="X307" s="376">
        <f>(+VLOOKUP(C307,'Transporte y Viaticos'!$B$87:$L$120,2,0)*'Parametros Generales'!$C$7*R307)*(2/3)</f>
        <v>0</v>
      </c>
      <c r="Y307" s="417"/>
      <c r="Z307" s="417"/>
      <c r="AA307" s="417"/>
      <c r="AB307" s="417">
        <f>+M307*'Parametros Generales'!$C$6*'Parametros Generales'!$J$9</f>
        <v>0</v>
      </c>
      <c r="AC307" s="417">
        <f>+H307*'Parametros Generales'!$J$10*'Parametros Generales'!$C$6*'Parametros Generales'!$C$11</f>
        <v>0</v>
      </c>
      <c r="AD307" s="417"/>
      <c r="AE307" s="417"/>
      <c r="AF307" s="417"/>
      <c r="AG307" s="417"/>
      <c r="AH307" s="417"/>
      <c r="AI307" s="417"/>
      <c r="AJ307" s="417"/>
      <c r="AK307" s="436"/>
      <c r="AL307" s="822"/>
    </row>
    <row r="308" spans="1:38" s="33" customFormat="1" hidden="1" outlineLevel="1">
      <c r="A308" s="1150"/>
      <c r="B308" s="823">
        <v>15</v>
      </c>
      <c r="C308" s="373" t="str">
        <f t="shared" si="24"/>
        <v>BOYACÁ</v>
      </c>
      <c r="D308" s="374"/>
      <c r="E308" s="1113"/>
      <c r="F308" s="1104"/>
      <c r="G308" s="375"/>
      <c r="H308" s="1062"/>
      <c r="I308" s="1057"/>
      <c r="J308" s="1058"/>
      <c r="K308" s="1070" t="str">
        <f t="shared" si="22"/>
        <v>Ok</v>
      </c>
      <c r="L308" s="1077">
        <f t="shared" si="23"/>
        <v>0</v>
      </c>
      <c r="M308" s="1091">
        <f>+H308/'Parametros Generales'!$C$8</f>
        <v>0</v>
      </c>
      <c r="N308" s="1098"/>
      <c r="O308" s="1098"/>
      <c r="P308" s="1098"/>
      <c r="Q308" s="1098"/>
      <c r="R308" s="1098">
        <f>+(M308/'Parametros Generales'!$C$9)</f>
        <v>0</v>
      </c>
      <c r="S308" s="395"/>
      <c r="T308" s="395"/>
      <c r="U308" s="395"/>
      <c r="V308" s="396"/>
      <c r="W308" s="376">
        <f>+R308*'Componentes T.H.'!$Q$9*'Parametros Generales'!$C$6</f>
        <v>0</v>
      </c>
      <c r="X308" s="376">
        <f>(+VLOOKUP(C308,'Transporte y Viaticos'!$B$87:$L$120,2,0)*'Parametros Generales'!$C$7*R308)*(2/3)</f>
        <v>0</v>
      </c>
      <c r="Y308" s="417"/>
      <c r="Z308" s="417"/>
      <c r="AA308" s="417"/>
      <c r="AB308" s="417">
        <f>+M308*'Parametros Generales'!$C$6*'Parametros Generales'!$J$9</f>
        <v>0</v>
      </c>
      <c r="AC308" s="417">
        <f>+H308*'Parametros Generales'!$J$10*'Parametros Generales'!$C$6*'Parametros Generales'!$C$11</f>
        <v>0</v>
      </c>
      <c r="AD308" s="417"/>
      <c r="AE308" s="417"/>
      <c r="AF308" s="417"/>
      <c r="AG308" s="417"/>
      <c r="AH308" s="417"/>
      <c r="AI308" s="417"/>
      <c r="AJ308" s="417"/>
      <c r="AK308" s="436"/>
      <c r="AL308" s="822"/>
    </row>
    <row r="309" spans="1:38" s="33" customFormat="1" hidden="1" outlineLevel="1">
      <c r="A309" s="1150"/>
      <c r="B309" s="823">
        <v>15</v>
      </c>
      <c r="C309" s="373" t="str">
        <f t="shared" si="24"/>
        <v>BOYACÁ</v>
      </c>
      <c r="D309" s="374"/>
      <c r="E309" s="1113"/>
      <c r="F309" s="1104"/>
      <c r="G309" s="375"/>
      <c r="H309" s="1062"/>
      <c r="I309" s="1057"/>
      <c r="J309" s="1058"/>
      <c r="K309" s="1070" t="str">
        <f t="shared" si="22"/>
        <v>Ok</v>
      </c>
      <c r="L309" s="1077">
        <f t="shared" si="23"/>
        <v>0</v>
      </c>
      <c r="M309" s="1091">
        <f>+H309/'Parametros Generales'!$C$8</f>
        <v>0</v>
      </c>
      <c r="N309" s="1098"/>
      <c r="O309" s="1098"/>
      <c r="P309" s="1098"/>
      <c r="Q309" s="1098"/>
      <c r="R309" s="1098">
        <f>+(M309/'Parametros Generales'!$C$9)</f>
        <v>0</v>
      </c>
      <c r="S309" s="395"/>
      <c r="T309" s="395"/>
      <c r="U309" s="395"/>
      <c r="V309" s="396"/>
      <c r="W309" s="376">
        <f>+R309*'Componentes T.H.'!$Q$9*'Parametros Generales'!$C$6</f>
        <v>0</v>
      </c>
      <c r="X309" s="376">
        <f>(+VLOOKUP(C309,'Transporte y Viaticos'!$B$87:$L$120,2,0)*'Parametros Generales'!$C$7*R309)*(2/3)</f>
        <v>0</v>
      </c>
      <c r="Y309" s="417"/>
      <c r="Z309" s="417"/>
      <c r="AA309" s="417"/>
      <c r="AB309" s="417">
        <f>+M309*'Parametros Generales'!$C$6*'Parametros Generales'!$J$9</f>
        <v>0</v>
      </c>
      <c r="AC309" s="417">
        <f>+H309*'Parametros Generales'!$J$10*'Parametros Generales'!$C$6*'Parametros Generales'!$C$11</f>
        <v>0</v>
      </c>
      <c r="AD309" s="417"/>
      <c r="AE309" s="417"/>
      <c r="AF309" s="417"/>
      <c r="AG309" s="417"/>
      <c r="AH309" s="417"/>
      <c r="AI309" s="417"/>
      <c r="AJ309" s="417"/>
      <c r="AK309" s="436"/>
      <c r="AL309" s="822"/>
    </row>
    <row r="310" spans="1:38" s="33" customFormat="1" hidden="1" outlineLevel="1">
      <c r="A310" s="1150"/>
      <c r="B310" s="823">
        <v>15</v>
      </c>
      <c r="C310" s="373" t="str">
        <f t="shared" si="24"/>
        <v>BOYACÁ</v>
      </c>
      <c r="D310" s="374"/>
      <c r="E310" s="1113"/>
      <c r="F310" s="1104"/>
      <c r="G310" s="375"/>
      <c r="H310" s="1062"/>
      <c r="I310" s="1057"/>
      <c r="J310" s="1058"/>
      <c r="K310" s="1070" t="str">
        <f t="shared" si="22"/>
        <v>Ok</v>
      </c>
      <c r="L310" s="1077">
        <f t="shared" si="23"/>
        <v>0</v>
      </c>
      <c r="M310" s="1091">
        <f>+H310/'Parametros Generales'!$C$8</f>
        <v>0</v>
      </c>
      <c r="N310" s="1098"/>
      <c r="O310" s="1098"/>
      <c r="P310" s="1098"/>
      <c r="Q310" s="1098"/>
      <c r="R310" s="1098">
        <f>+(M310/'Parametros Generales'!$C$9)</f>
        <v>0</v>
      </c>
      <c r="S310" s="395"/>
      <c r="T310" s="395"/>
      <c r="U310" s="395"/>
      <c r="V310" s="396"/>
      <c r="W310" s="376">
        <f>+R310*'Componentes T.H.'!$Q$9*'Parametros Generales'!$C$6</f>
        <v>0</v>
      </c>
      <c r="X310" s="376">
        <f>(+VLOOKUP(C310,'Transporte y Viaticos'!$B$87:$L$120,2,0)*'Parametros Generales'!$C$7*R310)*(2/3)</f>
        <v>0</v>
      </c>
      <c r="Y310" s="417"/>
      <c r="Z310" s="417"/>
      <c r="AA310" s="417"/>
      <c r="AB310" s="417">
        <f>+M310*'Parametros Generales'!$C$6*'Parametros Generales'!$J$9</f>
        <v>0</v>
      </c>
      <c r="AC310" s="417">
        <f>+H310*'Parametros Generales'!$J$10*'Parametros Generales'!$C$6*'Parametros Generales'!$C$11</f>
        <v>0</v>
      </c>
      <c r="AD310" s="417"/>
      <c r="AE310" s="417"/>
      <c r="AF310" s="417"/>
      <c r="AG310" s="417"/>
      <c r="AH310" s="417"/>
      <c r="AI310" s="417"/>
      <c r="AJ310" s="417"/>
      <c r="AK310" s="436"/>
      <c r="AL310" s="822"/>
    </row>
    <row r="311" spans="1:38" s="33" customFormat="1" hidden="1" outlineLevel="1">
      <c r="A311" s="1150"/>
      <c r="B311" s="823">
        <v>15</v>
      </c>
      <c r="C311" s="373" t="str">
        <f t="shared" si="24"/>
        <v>BOYACÁ</v>
      </c>
      <c r="D311" s="374"/>
      <c r="E311" s="1113"/>
      <c r="F311" s="1104"/>
      <c r="G311" s="375"/>
      <c r="H311" s="1062"/>
      <c r="I311" s="1057"/>
      <c r="J311" s="1058"/>
      <c r="K311" s="1070" t="str">
        <f t="shared" si="22"/>
        <v>Ok</v>
      </c>
      <c r="L311" s="1077">
        <f t="shared" si="23"/>
        <v>0</v>
      </c>
      <c r="M311" s="1091">
        <f>+H311/'Parametros Generales'!$C$8</f>
        <v>0</v>
      </c>
      <c r="N311" s="1098"/>
      <c r="O311" s="1098"/>
      <c r="P311" s="1098"/>
      <c r="Q311" s="1098"/>
      <c r="R311" s="1098">
        <f>+(M311/'Parametros Generales'!$C$9)</f>
        <v>0</v>
      </c>
      <c r="S311" s="395"/>
      <c r="T311" s="395"/>
      <c r="U311" s="395"/>
      <c r="V311" s="396"/>
      <c r="W311" s="376">
        <f>+R311*'Componentes T.H.'!$Q$9*'Parametros Generales'!$C$6</f>
        <v>0</v>
      </c>
      <c r="X311" s="376">
        <f>(+VLOOKUP(C311,'Transporte y Viaticos'!$B$87:$L$120,2,0)*'Parametros Generales'!$C$7*R311)*(2/3)</f>
        <v>0</v>
      </c>
      <c r="Y311" s="417"/>
      <c r="Z311" s="417"/>
      <c r="AA311" s="417"/>
      <c r="AB311" s="417">
        <f>+M311*'Parametros Generales'!$C$6*'Parametros Generales'!$J$9</f>
        <v>0</v>
      </c>
      <c r="AC311" s="417">
        <f>+H311*'Parametros Generales'!$J$10*'Parametros Generales'!$C$6*'Parametros Generales'!$C$11</f>
        <v>0</v>
      </c>
      <c r="AD311" s="417"/>
      <c r="AE311" s="417"/>
      <c r="AF311" s="417"/>
      <c r="AG311" s="417"/>
      <c r="AH311" s="417"/>
      <c r="AI311" s="417"/>
      <c r="AJ311" s="417"/>
      <c r="AK311" s="436"/>
      <c r="AL311" s="822"/>
    </row>
    <row r="312" spans="1:38" s="33" customFormat="1" hidden="1" outlineLevel="1">
      <c r="A312" s="1150"/>
      <c r="B312" s="823">
        <v>15</v>
      </c>
      <c r="C312" s="373" t="str">
        <f t="shared" si="24"/>
        <v>BOYACÁ</v>
      </c>
      <c r="D312" s="374"/>
      <c r="E312" s="1113"/>
      <c r="F312" s="1104"/>
      <c r="G312" s="375"/>
      <c r="H312" s="1062"/>
      <c r="I312" s="1057"/>
      <c r="J312" s="1058"/>
      <c r="K312" s="1070" t="str">
        <f t="shared" si="22"/>
        <v>Ok</v>
      </c>
      <c r="L312" s="1077">
        <f t="shared" si="23"/>
        <v>0</v>
      </c>
      <c r="M312" s="1091">
        <f>+H312/'Parametros Generales'!$C$8</f>
        <v>0</v>
      </c>
      <c r="N312" s="1098"/>
      <c r="O312" s="1098"/>
      <c r="P312" s="1098"/>
      <c r="Q312" s="1098"/>
      <c r="R312" s="1098">
        <f>+(M312/'Parametros Generales'!$C$9)</f>
        <v>0</v>
      </c>
      <c r="S312" s="395"/>
      <c r="T312" s="395"/>
      <c r="U312" s="395"/>
      <c r="V312" s="396"/>
      <c r="W312" s="376">
        <f>+R312*'Componentes T.H.'!$Q$9*'Parametros Generales'!$C$6</f>
        <v>0</v>
      </c>
      <c r="X312" s="376">
        <f>(+VLOOKUP(C312,'Transporte y Viaticos'!$B$87:$L$120,2,0)*'Parametros Generales'!$C$7*R312)*(2/3)</f>
        <v>0</v>
      </c>
      <c r="Y312" s="417"/>
      <c r="Z312" s="417"/>
      <c r="AA312" s="417"/>
      <c r="AB312" s="417">
        <f>+M312*'Parametros Generales'!$C$6*'Parametros Generales'!$J$9</f>
        <v>0</v>
      </c>
      <c r="AC312" s="417">
        <f>+H312*'Parametros Generales'!$J$10*'Parametros Generales'!$C$6*'Parametros Generales'!$C$11</f>
        <v>0</v>
      </c>
      <c r="AD312" s="417"/>
      <c r="AE312" s="417"/>
      <c r="AF312" s="417"/>
      <c r="AG312" s="417"/>
      <c r="AH312" s="417"/>
      <c r="AI312" s="417"/>
      <c r="AJ312" s="417"/>
      <c r="AK312" s="436"/>
      <c r="AL312" s="822"/>
    </row>
    <row r="313" spans="1:38" s="33" customFormat="1" hidden="1" outlineLevel="1">
      <c r="A313" s="1150"/>
      <c r="B313" s="823">
        <v>15</v>
      </c>
      <c r="C313" s="373" t="str">
        <f t="shared" si="24"/>
        <v>BOYACÁ</v>
      </c>
      <c r="D313" s="374"/>
      <c r="E313" s="1113"/>
      <c r="F313" s="1104"/>
      <c r="G313" s="375"/>
      <c r="H313" s="1062"/>
      <c r="I313" s="1057"/>
      <c r="J313" s="1058"/>
      <c r="K313" s="1070" t="str">
        <f t="shared" si="22"/>
        <v>Ok</v>
      </c>
      <c r="L313" s="1077">
        <f t="shared" si="23"/>
        <v>0</v>
      </c>
      <c r="M313" s="1091">
        <f>+H313/'Parametros Generales'!$C$8</f>
        <v>0</v>
      </c>
      <c r="N313" s="1098"/>
      <c r="O313" s="1098"/>
      <c r="P313" s="1098"/>
      <c r="Q313" s="1098"/>
      <c r="R313" s="1098">
        <f>+(M313/'Parametros Generales'!$C$9)</f>
        <v>0</v>
      </c>
      <c r="S313" s="395"/>
      <c r="T313" s="395"/>
      <c r="U313" s="395"/>
      <c r="V313" s="396"/>
      <c r="W313" s="376">
        <f>+R313*'Componentes T.H.'!$Q$9*'Parametros Generales'!$C$6</f>
        <v>0</v>
      </c>
      <c r="X313" s="376">
        <f>(+VLOOKUP(C313,'Transporte y Viaticos'!$B$87:$L$120,2,0)*'Parametros Generales'!$C$7*R313)*(2/3)</f>
        <v>0</v>
      </c>
      <c r="Y313" s="417"/>
      <c r="Z313" s="417"/>
      <c r="AA313" s="417"/>
      <c r="AB313" s="417">
        <f>+M313*'Parametros Generales'!$C$6*'Parametros Generales'!$J$9</f>
        <v>0</v>
      </c>
      <c r="AC313" s="417">
        <f>+H313*'Parametros Generales'!$J$10*'Parametros Generales'!$C$6*'Parametros Generales'!$C$11</f>
        <v>0</v>
      </c>
      <c r="AD313" s="417"/>
      <c r="AE313" s="417"/>
      <c r="AF313" s="417"/>
      <c r="AG313" s="417"/>
      <c r="AH313" s="417"/>
      <c r="AI313" s="417"/>
      <c r="AJ313" s="417"/>
      <c r="AK313" s="436"/>
      <c r="AL313" s="822"/>
    </row>
    <row r="314" spans="1:38" s="33" customFormat="1" hidden="1" outlineLevel="1">
      <c r="A314" s="1150"/>
      <c r="B314" s="823">
        <v>15</v>
      </c>
      <c r="C314" s="373" t="str">
        <f t="shared" si="24"/>
        <v>BOYACÁ</v>
      </c>
      <c r="D314" s="374"/>
      <c r="E314" s="1113"/>
      <c r="F314" s="1104"/>
      <c r="G314" s="375"/>
      <c r="H314" s="1062"/>
      <c r="I314" s="1057"/>
      <c r="J314" s="1058"/>
      <c r="K314" s="1070" t="str">
        <f t="shared" si="22"/>
        <v>Ok</v>
      </c>
      <c r="L314" s="1077">
        <f t="shared" si="23"/>
        <v>0</v>
      </c>
      <c r="M314" s="1091">
        <f>+H314/'Parametros Generales'!$C$8</f>
        <v>0</v>
      </c>
      <c r="N314" s="1098"/>
      <c r="O314" s="1098"/>
      <c r="P314" s="1098"/>
      <c r="Q314" s="1098"/>
      <c r="R314" s="1098">
        <f>+(M314/'Parametros Generales'!$C$9)</f>
        <v>0</v>
      </c>
      <c r="S314" s="395"/>
      <c r="T314" s="395"/>
      <c r="U314" s="395"/>
      <c r="V314" s="396"/>
      <c r="W314" s="376">
        <f>+R314*'Componentes T.H.'!$Q$9*'Parametros Generales'!$C$6</f>
        <v>0</v>
      </c>
      <c r="X314" s="376">
        <f>(+VLOOKUP(C314,'Transporte y Viaticos'!$B$87:$L$120,2,0)*'Parametros Generales'!$C$7*R314)*(2/3)</f>
        <v>0</v>
      </c>
      <c r="Y314" s="417"/>
      <c r="Z314" s="417"/>
      <c r="AA314" s="417"/>
      <c r="AB314" s="417">
        <f>+M314*'Parametros Generales'!$C$6*'Parametros Generales'!$J$9</f>
        <v>0</v>
      </c>
      <c r="AC314" s="417">
        <f>+H314*'Parametros Generales'!$J$10*'Parametros Generales'!$C$6*'Parametros Generales'!$C$11</f>
        <v>0</v>
      </c>
      <c r="AD314" s="417"/>
      <c r="AE314" s="417"/>
      <c r="AF314" s="417"/>
      <c r="AG314" s="417"/>
      <c r="AH314" s="417"/>
      <c r="AI314" s="417"/>
      <c r="AJ314" s="417"/>
      <c r="AK314" s="436"/>
      <c r="AL314" s="822"/>
    </row>
    <row r="315" spans="1:38" s="33" customFormat="1" hidden="1" outlineLevel="1">
      <c r="A315" s="1150"/>
      <c r="B315" s="823">
        <v>15</v>
      </c>
      <c r="C315" s="373" t="str">
        <f t="shared" si="24"/>
        <v>BOYACÁ</v>
      </c>
      <c r="D315" s="374"/>
      <c r="E315" s="1113"/>
      <c r="F315" s="1104"/>
      <c r="G315" s="375"/>
      <c r="H315" s="1062"/>
      <c r="I315" s="1057"/>
      <c r="J315" s="1058"/>
      <c r="K315" s="1070" t="str">
        <f t="shared" si="22"/>
        <v>Ok</v>
      </c>
      <c r="L315" s="1077">
        <f t="shared" si="23"/>
        <v>0</v>
      </c>
      <c r="M315" s="1091">
        <f>+H315/'Parametros Generales'!$C$8</f>
        <v>0</v>
      </c>
      <c r="N315" s="1098"/>
      <c r="O315" s="1098"/>
      <c r="P315" s="1098"/>
      <c r="Q315" s="1098"/>
      <c r="R315" s="1098">
        <f>+(M315/'Parametros Generales'!$C$9)</f>
        <v>0</v>
      </c>
      <c r="S315" s="395"/>
      <c r="T315" s="395"/>
      <c r="U315" s="395"/>
      <c r="V315" s="396"/>
      <c r="W315" s="376">
        <f>+R315*'Componentes T.H.'!$Q$9*'Parametros Generales'!$C$6</f>
        <v>0</v>
      </c>
      <c r="X315" s="376">
        <f>(+VLOOKUP(C315,'Transporte y Viaticos'!$B$87:$L$120,2,0)*'Parametros Generales'!$C$7*R315)*(2/3)</f>
        <v>0</v>
      </c>
      <c r="Y315" s="417"/>
      <c r="Z315" s="417"/>
      <c r="AA315" s="417"/>
      <c r="AB315" s="417">
        <f>+M315*'Parametros Generales'!$C$6*'Parametros Generales'!$J$9</f>
        <v>0</v>
      </c>
      <c r="AC315" s="417">
        <f>+H315*'Parametros Generales'!$J$10*'Parametros Generales'!$C$6*'Parametros Generales'!$C$11</f>
        <v>0</v>
      </c>
      <c r="AD315" s="417"/>
      <c r="AE315" s="417"/>
      <c r="AF315" s="417"/>
      <c r="AG315" s="417"/>
      <c r="AH315" s="417"/>
      <c r="AI315" s="417"/>
      <c r="AJ315" s="417"/>
      <c r="AK315" s="436"/>
      <c r="AL315" s="822"/>
    </row>
    <row r="316" spans="1:38" s="33" customFormat="1" hidden="1" outlineLevel="1">
      <c r="A316" s="1150"/>
      <c r="B316" s="823">
        <v>15</v>
      </c>
      <c r="C316" s="373" t="str">
        <f t="shared" si="24"/>
        <v>BOYACÁ</v>
      </c>
      <c r="D316" s="374"/>
      <c r="E316" s="1113"/>
      <c r="F316" s="1104"/>
      <c r="G316" s="375"/>
      <c r="H316" s="1062"/>
      <c r="I316" s="1057"/>
      <c r="J316" s="1058"/>
      <c r="K316" s="1070" t="str">
        <f t="shared" si="22"/>
        <v>Ok</v>
      </c>
      <c r="L316" s="1077">
        <f t="shared" si="23"/>
        <v>0</v>
      </c>
      <c r="M316" s="1091">
        <f>+H316/'Parametros Generales'!$C$8</f>
        <v>0</v>
      </c>
      <c r="N316" s="1098"/>
      <c r="O316" s="1098"/>
      <c r="P316" s="1098"/>
      <c r="Q316" s="1098"/>
      <c r="R316" s="1098">
        <f>+(M316/'Parametros Generales'!$C$9)</f>
        <v>0</v>
      </c>
      <c r="S316" s="395"/>
      <c r="T316" s="395"/>
      <c r="U316" s="395"/>
      <c r="V316" s="396"/>
      <c r="W316" s="376">
        <f>+R316*'Componentes T.H.'!$Q$9*'Parametros Generales'!$C$6</f>
        <v>0</v>
      </c>
      <c r="X316" s="376">
        <f>(+VLOOKUP(C316,'Transporte y Viaticos'!$B$87:$L$120,2,0)*'Parametros Generales'!$C$7*R316)*(2/3)</f>
        <v>0</v>
      </c>
      <c r="Y316" s="417"/>
      <c r="Z316" s="417"/>
      <c r="AA316" s="417"/>
      <c r="AB316" s="417">
        <f>+M316*'Parametros Generales'!$C$6*'Parametros Generales'!$J$9</f>
        <v>0</v>
      </c>
      <c r="AC316" s="417">
        <f>+H316*'Parametros Generales'!$J$10*'Parametros Generales'!$C$6*'Parametros Generales'!$C$11</f>
        <v>0</v>
      </c>
      <c r="AD316" s="417"/>
      <c r="AE316" s="417"/>
      <c r="AF316" s="417"/>
      <c r="AG316" s="417"/>
      <c r="AH316" s="417"/>
      <c r="AI316" s="417"/>
      <c r="AJ316" s="417"/>
      <c r="AK316" s="436"/>
      <c r="AL316" s="822"/>
    </row>
    <row r="317" spans="1:38" s="392" customFormat="1" collapsed="1">
      <c r="A317" s="1151">
        <v>6</v>
      </c>
      <c r="B317" s="824">
        <v>17</v>
      </c>
      <c r="C317" s="385" t="s">
        <v>217</v>
      </c>
      <c r="D317" s="386"/>
      <c r="E317" s="1114" t="s">
        <v>217</v>
      </c>
      <c r="F317" s="1105">
        <f>SUM(F318:F344)</f>
        <v>27</v>
      </c>
      <c r="G317" s="388">
        <f>+SUM(G318:G344)</f>
        <v>7128</v>
      </c>
      <c r="H317" s="512">
        <f>+SUM(H318:H357)</f>
        <v>7100</v>
      </c>
      <c r="I317" s="1057" t="s">
        <v>217</v>
      </c>
      <c r="J317" s="1067">
        <v>7100</v>
      </c>
      <c r="K317" s="1069" t="str">
        <f t="shared" si="22"/>
        <v>Ok</v>
      </c>
      <c r="L317" s="1077">
        <f t="shared" si="23"/>
        <v>0</v>
      </c>
      <c r="M317" s="512">
        <f>+SUM(M318:M357)</f>
        <v>284</v>
      </c>
      <c r="N317" s="1073">
        <f>+VLOOKUP(H317,'Parametros Generales'!$B$14:$D$17,3,TRUE)</f>
        <v>0.8</v>
      </c>
      <c r="O317" s="1073">
        <f>+VLOOKUP(H317,'Parametros Generales'!$B$14:$D$17,3,TRUE)</f>
        <v>0.8</v>
      </c>
      <c r="P317" s="1073">
        <f>+VLOOKUP(H317,'Parametros Generales'!$B$14:$D$17,3,TRUE)</f>
        <v>0.8</v>
      </c>
      <c r="Q317" s="1073">
        <f>+R317/'Parametros Generales'!$C$10</f>
        <v>8.875</v>
      </c>
      <c r="R317" s="512">
        <f>+SUM(R318:R357)</f>
        <v>71</v>
      </c>
      <c r="S317" s="390">
        <f>+VLOOKUP(S$1,'Componentes T.H.'!$B$4:$R$22,'Componentes T.H.'!$Q$1,0)*'Parametros Generales'!$C$6*'Cost x Depart'!N317</f>
        <v>11725411.310133336</v>
      </c>
      <c r="T317" s="390">
        <f>+VLOOKUP(T$1,'Componentes T.H.'!$B$4:$R$22,'Componentes T.H.'!$Q$1,0)*'Parametros Generales'!$C$6*'Cost x Depart'!O317</f>
        <v>8835052.5272000004</v>
      </c>
      <c r="U317" s="390">
        <f>+VLOOKUP(U$1,'Componentes T.H.'!$B$4:$R$22,'Componentes T.H.'!$Q$1,0)*'Parametros Generales'!$C$6*'Cost x Depart'!P317</f>
        <v>3912345.6000000001</v>
      </c>
      <c r="V317" s="389">
        <f>+VLOOKUP(V$1,'Componentes T.H.'!$B$4:$R$22,'Componentes T.H.'!$Q$1,0)*'Parametros Generales'!$C$6*'Cost x Depart'!Q317</f>
        <v>88670546.867208332</v>
      </c>
      <c r="W317" s="512">
        <f>+SUM(W318:W357)</f>
        <v>356314002.04100013</v>
      </c>
      <c r="X317" s="512">
        <f>+SUM(X318:X357)</f>
        <v>24218811.664109707</v>
      </c>
      <c r="Y317" s="391">
        <f>+VLOOKUP(C318,'Transporte y Viaticos'!$B$87:$F$120,2,0)*((O317/'Parametros Generales'!$J$14)+(Q317/'Parametros Generales'!$J$15)+(R317/'Parametros Generales'!$J$16))*'Parametros Generales'!$C$6</f>
        <v>1155723.3981614325</v>
      </c>
      <c r="Z317" s="391">
        <f>+(N317+O317+Q317)*'Parametros Generales'!$C$6*'Parametros Generales'!$J$7</f>
        <v>2059594.5</v>
      </c>
      <c r="AA317" s="391">
        <f>+SUM(N317:R317)*'Parametros Generales'!$C$6*'Parametros Generales'!$J$8</f>
        <v>14768362.5</v>
      </c>
      <c r="AB317" s="512">
        <f>+SUM(AB318:AB357)</f>
        <v>138282181.8181819</v>
      </c>
      <c r="AC317" s="512">
        <f>+SUM(AC318:AC357)</f>
        <v>523216706.24275786</v>
      </c>
      <c r="AD317" s="391">
        <f>+'Parametros Generales'!$J$11*SUM(N317:R317)</f>
        <v>2767731</v>
      </c>
      <c r="AE317" s="436">
        <f>+SUM(S317:AD317)</f>
        <v>1175926469.4687526</v>
      </c>
      <c r="AF317" s="391">
        <f>+AE317*(SUM('Res de Costos Pais'!G117:G117))</f>
        <v>80550963.158609554</v>
      </c>
      <c r="AG317" s="391">
        <f>+AE317+AF317</f>
        <v>1256477432.6273623</v>
      </c>
      <c r="AH317" s="391">
        <f>+AG317*SUM('Res de Costos Pais'!$G$123:$G$124)</f>
        <v>12137571.999180319</v>
      </c>
      <c r="AI317" s="391">
        <f>+(AG317+AH317)*'Res de Costos Pais'!$G$136</f>
        <v>3425260.5124916653</v>
      </c>
      <c r="AJ317" s="391">
        <f>+(AG317+AH317+AI317)*'Res de Costos Pais'!$G$140</f>
        <v>5088161.060556137</v>
      </c>
      <c r="AK317" s="391">
        <f>+AG317+AH317+AI317+AJ317</f>
        <v>1277128426.1995904</v>
      </c>
      <c r="AL317" s="820">
        <f>IF(ISERROR((+(AK317/H317)/'Parametros Generales'!$C$6)),0,(+(AK317/H317)/'Parametros Generales'!$C$6))</f>
        <v>35975.448625340578</v>
      </c>
    </row>
    <row r="318" spans="1:38" s="33" customFormat="1" hidden="1" outlineLevel="1">
      <c r="A318" s="1150"/>
      <c r="B318" s="819">
        <v>17</v>
      </c>
      <c r="C318" s="377" t="s">
        <v>217</v>
      </c>
      <c r="D318" s="378">
        <f>+VLOOKUP(E318,Codigos!$A$1:$B$1123,2,0)</f>
        <v>17001</v>
      </c>
      <c r="E318" s="1110" t="s">
        <v>1793</v>
      </c>
      <c r="F318" s="1102">
        <v>1</v>
      </c>
      <c r="G318" s="379">
        <v>1980</v>
      </c>
      <c r="H318" s="1060">
        <f>CEILING(G318,'Parametros Generales'!$C$8)</f>
        <v>2000</v>
      </c>
      <c r="I318" s="1057" t="s">
        <v>218</v>
      </c>
      <c r="J318" s="1058">
        <v>2000</v>
      </c>
      <c r="K318" s="1070" t="str">
        <f t="shared" si="22"/>
        <v>Ok</v>
      </c>
      <c r="L318" s="1077">
        <f t="shared" si="23"/>
        <v>0</v>
      </c>
      <c r="M318" s="1089">
        <f>+H318/'Parametros Generales'!$C$8</f>
        <v>80</v>
      </c>
      <c r="N318" s="1096"/>
      <c r="O318" s="1096"/>
      <c r="P318" s="1096"/>
      <c r="Q318" s="1096"/>
      <c r="R318" s="1096">
        <f>+(M318/'Parametros Generales'!$C$9)</f>
        <v>20</v>
      </c>
      <c r="S318" s="393"/>
      <c r="T318" s="393"/>
      <c r="U318" s="393"/>
      <c r="V318" s="394"/>
      <c r="W318" s="380">
        <f>+R318*'Componentes T.H.'!$Q$9*'Parametros Generales'!$C$6</f>
        <v>100370141.42000002</v>
      </c>
      <c r="X318" s="380">
        <f>(+VLOOKUP(C318,'Transporte y Viaticos'!$B$87:$L$120,2,0)*'Parametros Generales'!$C$7*R318)*(2/3)</f>
        <v>6822200.4687632974</v>
      </c>
      <c r="Y318" s="417"/>
      <c r="Z318" s="417"/>
      <c r="AA318" s="417"/>
      <c r="AB318" s="417">
        <f>+M318*'Parametros Generales'!$C$6*'Parametros Generales'!$J$9</f>
        <v>38952727.272727281</v>
      </c>
      <c r="AC318" s="417">
        <f>+H318*'Parametros Generales'!$J$10*'Parametros Generales'!$C$6*'Parametros Generales'!$C$11</f>
        <v>147384987.67401627</v>
      </c>
      <c r="AD318" s="417"/>
      <c r="AE318" s="417"/>
      <c r="AF318" s="417"/>
      <c r="AG318" s="417"/>
      <c r="AH318" s="417"/>
      <c r="AI318" s="417"/>
      <c r="AJ318" s="417"/>
      <c r="AK318" s="436"/>
      <c r="AL318" s="822"/>
    </row>
    <row r="319" spans="1:38" s="33" customFormat="1" hidden="1" outlineLevel="1">
      <c r="A319" s="1150"/>
      <c r="B319" s="821">
        <v>17</v>
      </c>
      <c r="C319" s="371" t="s">
        <v>217</v>
      </c>
      <c r="D319" s="31">
        <f>+VLOOKUP(E319,Codigos!$A$1:$B$1123,2,0)</f>
        <v>17013</v>
      </c>
      <c r="E319" s="1112" t="s">
        <v>1794</v>
      </c>
      <c r="F319" s="1103">
        <v>1</v>
      </c>
      <c r="G319" s="30">
        <v>198</v>
      </c>
      <c r="H319" s="1061">
        <f>CEILING((G319+200),'Parametros Generales'!$C$8)</f>
        <v>400</v>
      </c>
      <c r="I319" s="1059" t="s">
        <v>219</v>
      </c>
      <c r="J319" s="1058">
        <v>400</v>
      </c>
      <c r="K319" s="1070" t="str">
        <f t="shared" si="22"/>
        <v>Ok</v>
      </c>
      <c r="L319" s="1077">
        <f t="shared" si="23"/>
        <v>0</v>
      </c>
      <c r="M319" s="1090">
        <f>+H319/'Parametros Generales'!$C$8</f>
        <v>16</v>
      </c>
      <c r="N319" s="1097"/>
      <c r="O319" s="1097"/>
      <c r="P319" s="1097"/>
      <c r="Q319" s="1097"/>
      <c r="R319" s="1097">
        <f>+(M319/'Parametros Generales'!$C$9)</f>
        <v>4</v>
      </c>
      <c r="S319" s="390"/>
      <c r="T319" s="390"/>
      <c r="U319" s="390"/>
      <c r="V319" s="389"/>
      <c r="W319" s="32">
        <f>+R319*'Componentes T.H.'!$Q$9*'Parametros Generales'!$C$6</f>
        <v>20074028.284000002</v>
      </c>
      <c r="X319" s="32">
        <f>(+VLOOKUP(C319,'Transporte y Viaticos'!$B$87:$L$120,2,0)*'Parametros Generales'!$C$7*R319)*(2/3)</f>
        <v>1364440.0937526594</v>
      </c>
      <c r="Y319" s="417"/>
      <c r="Z319" s="417"/>
      <c r="AA319" s="417"/>
      <c r="AB319" s="417">
        <f>+M319*'Parametros Generales'!$C$6*'Parametros Generales'!$J$9</f>
        <v>7790545.4545454569</v>
      </c>
      <c r="AC319" s="417">
        <f>+H319*'Parametros Generales'!$J$10*'Parametros Generales'!$C$6*'Parametros Generales'!$C$11</f>
        <v>29476997.534803249</v>
      </c>
      <c r="AD319" s="417"/>
      <c r="AE319" s="417"/>
      <c r="AF319" s="417"/>
      <c r="AG319" s="417"/>
      <c r="AH319" s="417"/>
      <c r="AI319" s="417"/>
      <c r="AJ319" s="417"/>
      <c r="AK319" s="436"/>
      <c r="AL319" s="822"/>
    </row>
    <row r="320" spans="1:38" s="33" customFormat="1" hidden="1" outlineLevel="1">
      <c r="A320" s="1150"/>
      <c r="B320" s="821">
        <v>17</v>
      </c>
      <c r="C320" s="371" t="s">
        <v>217</v>
      </c>
      <c r="D320" s="31">
        <f>+VLOOKUP(E320,Codigos!$A$1:$B$1123,2,0)</f>
        <v>17042</v>
      </c>
      <c r="E320" s="1111" t="s">
        <v>1795</v>
      </c>
      <c r="F320" s="1103">
        <v>1</v>
      </c>
      <c r="G320" s="30">
        <v>198</v>
      </c>
      <c r="H320" s="1061">
        <f>CEILING(G320,'Parametros Generales'!$C$8)</f>
        <v>200</v>
      </c>
      <c r="I320" s="1057" t="s">
        <v>220</v>
      </c>
      <c r="J320" s="1058">
        <v>200</v>
      </c>
      <c r="K320" s="1070" t="str">
        <f t="shared" si="22"/>
        <v>Ok</v>
      </c>
      <c r="L320" s="1077">
        <f t="shared" si="23"/>
        <v>0</v>
      </c>
      <c r="M320" s="1090">
        <f>+H320/'Parametros Generales'!$C$8</f>
        <v>8</v>
      </c>
      <c r="N320" s="1097"/>
      <c r="O320" s="1097"/>
      <c r="P320" s="1097"/>
      <c r="Q320" s="1097"/>
      <c r="R320" s="1097">
        <f>+(M320/'Parametros Generales'!$C$9)</f>
        <v>2</v>
      </c>
      <c r="S320" s="390"/>
      <c r="T320" s="390"/>
      <c r="U320" s="390"/>
      <c r="V320" s="389"/>
      <c r="W320" s="32">
        <f>+R320*'Componentes T.H.'!$Q$9*'Parametros Generales'!$C$6</f>
        <v>10037014.142000001</v>
      </c>
      <c r="X320" s="32">
        <f>(+VLOOKUP(C320,'Transporte y Viaticos'!$B$87:$L$120,2,0)*'Parametros Generales'!$C$7*R320)*(2/3)</f>
        <v>682220.0468763297</v>
      </c>
      <c r="Y320" s="417"/>
      <c r="Z320" s="417"/>
      <c r="AA320" s="417"/>
      <c r="AB320" s="417">
        <f>+M320*'Parametros Generales'!$C$6*'Parametros Generales'!$J$9</f>
        <v>3895272.7272727285</v>
      </c>
      <c r="AC320" s="417">
        <f>+H320*'Parametros Generales'!$J$10*'Parametros Generales'!$C$6*'Parametros Generales'!$C$11</f>
        <v>14738498.767401624</v>
      </c>
      <c r="AD320" s="417"/>
      <c r="AE320" s="417"/>
      <c r="AF320" s="417"/>
      <c r="AG320" s="417"/>
      <c r="AH320" s="417"/>
      <c r="AI320" s="417"/>
      <c r="AJ320" s="417"/>
      <c r="AK320" s="436"/>
      <c r="AL320" s="822"/>
    </row>
    <row r="321" spans="1:38" s="33" customFormat="1" hidden="1" outlineLevel="1">
      <c r="A321" s="1150"/>
      <c r="B321" s="821">
        <v>17</v>
      </c>
      <c r="C321" s="371" t="s">
        <v>217</v>
      </c>
      <c r="D321" s="31">
        <f>+VLOOKUP(E321,Codigos!$A$1:$B$1123,2,0)</f>
        <v>17050</v>
      </c>
      <c r="E321" s="1112" t="s">
        <v>1796</v>
      </c>
      <c r="F321" s="1103">
        <v>1</v>
      </c>
      <c r="G321" s="30">
        <v>198</v>
      </c>
      <c r="H321" s="1061">
        <f>CEILING(G321,'Parametros Generales'!$C$8)</f>
        <v>200</v>
      </c>
      <c r="I321" s="1059" t="s">
        <v>221</v>
      </c>
      <c r="J321" s="1058">
        <v>200</v>
      </c>
      <c r="K321" s="1070" t="str">
        <f t="shared" si="22"/>
        <v>Ok</v>
      </c>
      <c r="L321" s="1077">
        <f t="shared" si="23"/>
        <v>0</v>
      </c>
      <c r="M321" s="1090">
        <f>+H321/'Parametros Generales'!$C$8</f>
        <v>8</v>
      </c>
      <c r="N321" s="1097"/>
      <c r="O321" s="1097"/>
      <c r="P321" s="1097"/>
      <c r="Q321" s="1097"/>
      <c r="R321" s="1097">
        <f>+(M321/'Parametros Generales'!$C$9)</f>
        <v>2</v>
      </c>
      <c r="S321" s="390"/>
      <c r="T321" s="390"/>
      <c r="U321" s="390"/>
      <c r="V321" s="389"/>
      <c r="W321" s="32">
        <f>+R321*'Componentes T.H.'!$Q$9*'Parametros Generales'!$C$6</f>
        <v>10037014.142000001</v>
      </c>
      <c r="X321" s="32">
        <f>(+VLOOKUP(C321,'Transporte y Viaticos'!$B$87:$L$120,2,0)*'Parametros Generales'!$C$7*R321)*(2/3)</f>
        <v>682220.0468763297</v>
      </c>
      <c r="Y321" s="417"/>
      <c r="Z321" s="417"/>
      <c r="AA321" s="417"/>
      <c r="AB321" s="417">
        <f>+M321*'Parametros Generales'!$C$6*'Parametros Generales'!$J$9</f>
        <v>3895272.7272727285</v>
      </c>
      <c r="AC321" s="417">
        <f>+H321*'Parametros Generales'!$J$10*'Parametros Generales'!$C$6*'Parametros Generales'!$C$11</f>
        <v>14738498.767401624</v>
      </c>
      <c r="AD321" s="417"/>
      <c r="AE321" s="417"/>
      <c r="AF321" s="417"/>
      <c r="AG321" s="417"/>
      <c r="AH321" s="417"/>
      <c r="AI321" s="417"/>
      <c r="AJ321" s="417"/>
      <c r="AK321" s="436"/>
      <c r="AL321" s="822"/>
    </row>
    <row r="322" spans="1:38" s="33" customFormat="1" hidden="1" outlineLevel="1">
      <c r="A322" s="1150"/>
      <c r="B322" s="821">
        <v>17</v>
      </c>
      <c r="C322" s="371" t="s">
        <v>217</v>
      </c>
      <c r="D322" s="31">
        <f>+VLOOKUP(E322,Codigos!$A$1:$B$1123,2,0)</f>
        <v>17088</v>
      </c>
      <c r="E322" s="1112" t="s">
        <v>1797</v>
      </c>
      <c r="F322" s="1103">
        <v>1</v>
      </c>
      <c r="G322" s="30">
        <v>198</v>
      </c>
      <c r="H322" s="1061">
        <f>CEILING(G322,'Parametros Generales'!$C$8)</f>
        <v>200</v>
      </c>
      <c r="I322" s="1059" t="s">
        <v>222</v>
      </c>
      <c r="J322" s="1058">
        <v>200</v>
      </c>
      <c r="K322" s="1070" t="str">
        <f t="shared" ref="K322:K385" si="25">+IF(I322=E322,"Ok","Rev")</f>
        <v>Ok</v>
      </c>
      <c r="L322" s="1077">
        <f t="shared" ref="L322:L385" si="26">+J322-H322</f>
        <v>0</v>
      </c>
      <c r="M322" s="1090">
        <f>+H322/'Parametros Generales'!$C$8</f>
        <v>8</v>
      </c>
      <c r="N322" s="1097"/>
      <c r="O322" s="1097"/>
      <c r="P322" s="1097"/>
      <c r="Q322" s="1097"/>
      <c r="R322" s="1097">
        <f>+(M322/'Parametros Generales'!$C$9)</f>
        <v>2</v>
      </c>
      <c r="S322" s="390"/>
      <c r="T322" s="390"/>
      <c r="U322" s="390"/>
      <c r="V322" s="389"/>
      <c r="W322" s="32">
        <f>+R322*'Componentes T.H.'!$Q$9*'Parametros Generales'!$C$6</f>
        <v>10037014.142000001</v>
      </c>
      <c r="X322" s="32">
        <f>(+VLOOKUP(C322,'Transporte y Viaticos'!$B$87:$L$120,2,0)*'Parametros Generales'!$C$7*R322)*(2/3)</f>
        <v>682220.0468763297</v>
      </c>
      <c r="Y322" s="417"/>
      <c r="Z322" s="417"/>
      <c r="AA322" s="417"/>
      <c r="AB322" s="417">
        <f>+M322*'Parametros Generales'!$C$6*'Parametros Generales'!$J$9</f>
        <v>3895272.7272727285</v>
      </c>
      <c r="AC322" s="417">
        <f>+H322*'Parametros Generales'!$J$10*'Parametros Generales'!$C$6*'Parametros Generales'!$C$11</f>
        <v>14738498.767401624</v>
      </c>
      <c r="AD322" s="417"/>
      <c r="AE322" s="417"/>
      <c r="AF322" s="417"/>
      <c r="AG322" s="417"/>
      <c r="AH322" s="417"/>
      <c r="AI322" s="417"/>
      <c r="AJ322" s="417"/>
      <c r="AK322" s="436"/>
      <c r="AL322" s="822"/>
    </row>
    <row r="323" spans="1:38" s="33" customFormat="1" hidden="1" outlineLevel="1">
      <c r="A323" s="1150"/>
      <c r="B323" s="821">
        <v>17</v>
      </c>
      <c r="C323" s="371" t="s">
        <v>217</v>
      </c>
      <c r="D323" s="31">
        <f>+VLOOKUP(E323,Codigos!$A$1:$B$1123,2,0)</f>
        <v>17174</v>
      </c>
      <c r="E323" s="1111" t="s">
        <v>1798</v>
      </c>
      <c r="F323" s="1103">
        <v>1</v>
      </c>
      <c r="G323" s="30">
        <v>198</v>
      </c>
      <c r="H323" s="1061">
        <f>CEILING((G323+100),'Parametros Generales'!$C$8)</f>
        <v>300</v>
      </c>
      <c r="I323" s="1057" t="s">
        <v>223</v>
      </c>
      <c r="J323" s="1058">
        <v>300</v>
      </c>
      <c r="K323" s="1070" t="str">
        <f t="shared" si="25"/>
        <v>Ok</v>
      </c>
      <c r="L323" s="1077">
        <f t="shared" si="26"/>
        <v>0</v>
      </c>
      <c r="M323" s="1090">
        <f>+H323/'Parametros Generales'!$C$8</f>
        <v>12</v>
      </c>
      <c r="N323" s="1097"/>
      <c r="O323" s="1097"/>
      <c r="P323" s="1097"/>
      <c r="Q323" s="1097"/>
      <c r="R323" s="1097">
        <f>+(M323/'Parametros Generales'!$C$9)</f>
        <v>3</v>
      </c>
      <c r="S323" s="390"/>
      <c r="T323" s="390"/>
      <c r="U323" s="390"/>
      <c r="V323" s="389"/>
      <c r="W323" s="32">
        <f>+R323*'Componentes T.H.'!$Q$9*'Parametros Generales'!$C$6</f>
        <v>15055521.213</v>
      </c>
      <c r="X323" s="32">
        <f>(+VLOOKUP(C323,'Transporte y Viaticos'!$B$87:$L$120,2,0)*'Parametros Generales'!$C$7*R323)*(2/3)</f>
        <v>1023330.0703144945</v>
      </c>
      <c r="Y323" s="417"/>
      <c r="Z323" s="417"/>
      <c r="AA323" s="417"/>
      <c r="AB323" s="417">
        <f>+M323*'Parametros Generales'!$C$6*'Parametros Generales'!$J$9</f>
        <v>5842909.0909090927</v>
      </c>
      <c r="AC323" s="417">
        <f>+H323*'Parametros Generales'!$J$10*'Parametros Generales'!$C$6*'Parametros Generales'!$C$11</f>
        <v>22107748.151102442</v>
      </c>
      <c r="AD323" s="417"/>
      <c r="AE323" s="417"/>
      <c r="AF323" s="417"/>
      <c r="AG323" s="417"/>
      <c r="AH323" s="417"/>
      <c r="AI323" s="417"/>
      <c r="AJ323" s="417"/>
      <c r="AK323" s="436"/>
      <c r="AL323" s="822"/>
    </row>
    <row r="324" spans="1:38" s="33" customFormat="1" hidden="1" outlineLevel="1">
      <c r="A324" s="1150"/>
      <c r="B324" s="821">
        <v>17</v>
      </c>
      <c r="C324" s="371" t="s">
        <v>217</v>
      </c>
      <c r="D324" s="31">
        <f>+VLOOKUP(E324,Codigos!$A$1:$B$1123,2,0)</f>
        <v>17272</v>
      </c>
      <c r="E324" s="1112" t="s">
        <v>1799</v>
      </c>
      <c r="F324" s="1103">
        <v>1</v>
      </c>
      <c r="G324" s="30">
        <v>198</v>
      </c>
      <c r="H324" s="1061">
        <f>CEILING(G324,'Parametros Generales'!$C$8)</f>
        <v>200</v>
      </c>
      <c r="I324" s="1059" t="s">
        <v>224</v>
      </c>
      <c r="J324" s="1058">
        <v>200</v>
      </c>
      <c r="K324" s="1070" t="str">
        <f t="shared" si="25"/>
        <v>Ok</v>
      </c>
      <c r="L324" s="1077">
        <f t="shared" si="26"/>
        <v>0</v>
      </c>
      <c r="M324" s="1090">
        <f>+H324/'Parametros Generales'!$C$8</f>
        <v>8</v>
      </c>
      <c r="N324" s="1097"/>
      <c r="O324" s="1097"/>
      <c r="P324" s="1097"/>
      <c r="Q324" s="1097"/>
      <c r="R324" s="1097">
        <f>+(M324/'Parametros Generales'!$C$9)</f>
        <v>2</v>
      </c>
      <c r="S324" s="390"/>
      <c r="T324" s="390"/>
      <c r="U324" s="390"/>
      <c r="V324" s="389"/>
      <c r="W324" s="32">
        <f>+R324*'Componentes T.H.'!$Q$9*'Parametros Generales'!$C$6</f>
        <v>10037014.142000001</v>
      </c>
      <c r="X324" s="32">
        <f>(+VLOOKUP(C324,'Transporte y Viaticos'!$B$87:$L$120,2,0)*'Parametros Generales'!$C$7*R324)*(2/3)</f>
        <v>682220.0468763297</v>
      </c>
      <c r="Y324" s="417"/>
      <c r="Z324" s="417"/>
      <c r="AA324" s="417"/>
      <c r="AB324" s="417">
        <f>+M324*'Parametros Generales'!$C$6*'Parametros Generales'!$J$9</f>
        <v>3895272.7272727285</v>
      </c>
      <c r="AC324" s="417">
        <f>+H324*'Parametros Generales'!$J$10*'Parametros Generales'!$C$6*'Parametros Generales'!$C$11</f>
        <v>14738498.767401624</v>
      </c>
      <c r="AD324" s="417"/>
      <c r="AE324" s="417"/>
      <c r="AF324" s="417"/>
      <c r="AG324" s="417"/>
      <c r="AH324" s="417"/>
      <c r="AI324" s="417"/>
      <c r="AJ324" s="417"/>
      <c r="AK324" s="436"/>
      <c r="AL324" s="822"/>
    </row>
    <row r="325" spans="1:38" s="33" customFormat="1" hidden="1" outlineLevel="1">
      <c r="A325" s="1150"/>
      <c r="B325" s="821">
        <v>17</v>
      </c>
      <c r="C325" s="371" t="s">
        <v>217</v>
      </c>
      <c r="D325" s="31">
        <f>+VLOOKUP(E325,Codigos!$A$1:$B$1123,2,0)</f>
        <v>17380</v>
      </c>
      <c r="E325" s="1111" t="s">
        <v>1800</v>
      </c>
      <c r="F325" s="1103">
        <v>1</v>
      </c>
      <c r="G325" s="30">
        <v>198</v>
      </c>
      <c r="H325" s="1061">
        <f>CEILING((G325+200),'Parametros Generales'!$C$8)</f>
        <v>400</v>
      </c>
      <c r="I325" s="1057" t="s">
        <v>225</v>
      </c>
      <c r="J325" s="1058">
        <v>400</v>
      </c>
      <c r="K325" s="1070" t="str">
        <f t="shared" si="25"/>
        <v>Ok</v>
      </c>
      <c r="L325" s="1077">
        <f t="shared" si="26"/>
        <v>0</v>
      </c>
      <c r="M325" s="1090">
        <f>+H325/'Parametros Generales'!$C$8</f>
        <v>16</v>
      </c>
      <c r="N325" s="1097"/>
      <c r="O325" s="1097"/>
      <c r="P325" s="1097"/>
      <c r="Q325" s="1097"/>
      <c r="R325" s="1097">
        <f>+(M325/'Parametros Generales'!$C$9)</f>
        <v>4</v>
      </c>
      <c r="S325" s="390"/>
      <c r="T325" s="390"/>
      <c r="U325" s="390"/>
      <c r="V325" s="389"/>
      <c r="W325" s="32">
        <f>+R325*'Componentes T.H.'!$Q$9*'Parametros Generales'!$C$6</f>
        <v>20074028.284000002</v>
      </c>
      <c r="X325" s="32">
        <f>(+VLOOKUP(C325,'Transporte y Viaticos'!$B$87:$L$120,2,0)*'Parametros Generales'!$C$7*R325)*(2/3)</f>
        <v>1364440.0937526594</v>
      </c>
      <c r="Y325" s="417"/>
      <c r="Z325" s="417"/>
      <c r="AA325" s="417"/>
      <c r="AB325" s="417">
        <f>+M325*'Parametros Generales'!$C$6*'Parametros Generales'!$J$9</f>
        <v>7790545.4545454569</v>
      </c>
      <c r="AC325" s="417">
        <f>+H325*'Parametros Generales'!$J$10*'Parametros Generales'!$C$6*'Parametros Generales'!$C$11</f>
        <v>29476997.534803249</v>
      </c>
      <c r="AD325" s="417"/>
      <c r="AE325" s="417"/>
      <c r="AF325" s="417"/>
      <c r="AG325" s="417"/>
      <c r="AH325" s="417"/>
      <c r="AI325" s="417"/>
      <c r="AJ325" s="417"/>
      <c r="AK325" s="436"/>
      <c r="AL325" s="822"/>
    </row>
    <row r="326" spans="1:38" s="33" customFormat="1" hidden="1" outlineLevel="1">
      <c r="A326" s="1150"/>
      <c r="B326" s="821">
        <v>17</v>
      </c>
      <c r="C326" s="371" t="s">
        <v>217</v>
      </c>
      <c r="D326" s="31">
        <f>+VLOOKUP(E326,Codigos!$A$1:$B$1123,2,0)</f>
        <v>17388</v>
      </c>
      <c r="E326" s="1111" t="s">
        <v>1801</v>
      </c>
      <c r="F326" s="1103">
        <v>1</v>
      </c>
      <c r="G326" s="30">
        <v>198</v>
      </c>
      <c r="H326" s="1061">
        <f>CEILING(G326,'Parametros Generales'!$C$8)</f>
        <v>200</v>
      </c>
      <c r="I326" s="1057" t="s">
        <v>226</v>
      </c>
      <c r="J326" s="1058">
        <v>200</v>
      </c>
      <c r="K326" s="1070" t="str">
        <f t="shared" si="25"/>
        <v>Ok</v>
      </c>
      <c r="L326" s="1077">
        <f t="shared" si="26"/>
        <v>0</v>
      </c>
      <c r="M326" s="1090">
        <f>+H326/'Parametros Generales'!$C$8</f>
        <v>8</v>
      </c>
      <c r="N326" s="1097"/>
      <c r="O326" s="1097"/>
      <c r="P326" s="1097"/>
      <c r="Q326" s="1097"/>
      <c r="R326" s="1097">
        <f>+(M326/'Parametros Generales'!$C$9)</f>
        <v>2</v>
      </c>
      <c r="S326" s="390"/>
      <c r="T326" s="390"/>
      <c r="U326" s="390"/>
      <c r="V326" s="389"/>
      <c r="W326" s="32">
        <f>+R326*'Componentes T.H.'!$Q$9*'Parametros Generales'!$C$6</f>
        <v>10037014.142000001</v>
      </c>
      <c r="X326" s="32">
        <f>(+VLOOKUP(C326,'Transporte y Viaticos'!$B$87:$L$120,2,0)*'Parametros Generales'!$C$7*R326)*(2/3)</f>
        <v>682220.0468763297</v>
      </c>
      <c r="Y326" s="417"/>
      <c r="Z326" s="417"/>
      <c r="AA326" s="417"/>
      <c r="AB326" s="417">
        <f>+M326*'Parametros Generales'!$C$6*'Parametros Generales'!$J$9</f>
        <v>3895272.7272727285</v>
      </c>
      <c r="AC326" s="417">
        <f>+H326*'Parametros Generales'!$J$10*'Parametros Generales'!$C$6*'Parametros Generales'!$C$11</f>
        <v>14738498.767401624</v>
      </c>
      <c r="AD326" s="417"/>
      <c r="AE326" s="417"/>
      <c r="AF326" s="417"/>
      <c r="AG326" s="417"/>
      <c r="AH326" s="417"/>
      <c r="AI326" s="417"/>
      <c r="AJ326" s="417"/>
      <c r="AK326" s="436"/>
      <c r="AL326" s="822"/>
    </row>
    <row r="327" spans="1:38" s="33" customFormat="1" hidden="1" outlineLevel="1">
      <c r="A327" s="1150"/>
      <c r="B327" s="821">
        <v>17</v>
      </c>
      <c r="C327" s="371" t="s">
        <v>217</v>
      </c>
      <c r="D327" s="31">
        <f>+VLOOKUP(E327,Codigos!$A$1:$B$1123,2,0)</f>
        <v>17433</v>
      </c>
      <c r="E327" s="1111" t="s">
        <v>1802</v>
      </c>
      <c r="F327" s="1103">
        <v>1</v>
      </c>
      <c r="G327" s="30">
        <v>198</v>
      </c>
      <c r="H327" s="1061">
        <f>CEILING((G327-50),'Parametros Generales'!$C$8)</f>
        <v>150</v>
      </c>
      <c r="I327" s="1057" t="s">
        <v>227</v>
      </c>
      <c r="J327" s="1058">
        <v>150</v>
      </c>
      <c r="K327" s="1070" t="str">
        <f t="shared" si="25"/>
        <v>Ok</v>
      </c>
      <c r="L327" s="1077">
        <f t="shared" si="26"/>
        <v>0</v>
      </c>
      <c r="M327" s="1090">
        <f>+H327/'Parametros Generales'!$C$8</f>
        <v>6</v>
      </c>
      <c r="N327" s="1097"/>
      <c r="O327" s="1097"/>
      <c r="P327" s="1097"/>
      <c r="Q327" s="1097"/>
      <c r="R327" s="1097">
        <f>+(M327/'Parametros Generales'!$C$9)</f>
        <v>1.5</v>
      </c>
      <c r="S327" s="390"/>
      <c r="T327" s="390"/>
      <c r="U327" s="390"/>
      <c r="V327" s="389"/>
      <c r="W327" s="32">
        <f>+R327*'Componentes T.H.'!$Q$9*'Parametros Generales'!$C$6</f>
        <v>7527760.6064999998</v>
      </c>
      <c r="X327" s="32">
        <f>(+VLOOKUP(C327,'Transporte y Viaticos'!$B$87:$L$120,2,0)*'Parametros Generales'!$C$7*R327)*(2/3)</f>
        <v>511665.03515724727</v>
      </c>
      <c r="Y327" s="417"/>
      <c r="Z327" s="417"/>
      <c r="AA327" s="417"/>
      <c r="AB327" s="417">
        <f>+M327*'Parametros Generales'!$C$6*'Parametros Generales'!$J$9</f>
        <v>2921454.5454545463</v>
      </c>
      <c r="AC327" s="417">
        <f>+H327*'Parametros Generales'!$J$10*'Parametros Generales'!$C$6*'Parametros Generales'!$C$11</f>
        <v>11053874.075551221</v>
      </c>
      <c r="AD327" s="417"/>
      <c r="AE327" s="417"/>
      <c r="AF327" s="417"/>
      <c r="AG327" s="417"/>
      <c r="AH327" s="417"/>
      <c r="AI327" s="417"/>
      <c r="AJ327" s="417"/>
      <c r="AK327" s="436"/>
      <c r="AL327" s="822"/>
    </row>
    <row r="328" spans="1:38" s="33" customFormat="1" hidden="1" outlineLevel="1">
      <c r="A328" s="1150"/>
      <c r="B328" s="821">
        <v>17</v>
      </c>
      <c r="C328" s="371" t="s">
        <v>217</v>
      </c>
      <c r="D328" s="31">
        <f>+VLOOKUP(E328,Codigos!$A$1:$B$1123,2,0)</f>
        <v>17442</v>
      </c>
      <c r="E328" s="1112" t="s">
        <v>1803</v>
      </c>
      <c r="F328" s="1103">
        <v>1</v>
      </c>
      <c r="G328" s="30">
        <v>198</v>
      </c>
      <c r="H328" s="1061">
        <f>CEILING(G328,'Parametros Generales'!$C$8)</f>
        <v>200</v>
      </c>
      <c r="I328" s="1059" t="s">
        <v>228</v>
      </c>
      <c r="J328" s="1058">
        <v>200</v>
      </c>
      <c r="K328" s="1070" t="str">
        <f t="shared" si="25"/>
        <v>Ok</v>
      </c>
      <c r="L328" s="1077">
        <f t="shared" si="26"/>
        <v>0</v>
      </c>
      <c r="M328" s="1090">
        <f>+H328/'Parametros Generales'!$C$8</f>
        <v>8</v>
      </c>
      <c r="N328" s="1097"/>
      <c r="O328" s="1097"/>
      <c r="P328" s="1097"/>
      <c r="Q328" s="1097"/>
      <c r="R328" s="1097">
        <f>+(M328/'Parametros Generales'!$C$9)</f>
        <v>2</v>
      </c>
      <c r="S328" s="390"/>
      <c r="T328" s="390"/>
      <c r="U328" s="390"/>
      <c r="V328" s="389"/>
      <c r="W328" s="32">
        <f>+R328*'Componentes T.H.'!$Q$9*'Parametros Generales'!$C$6</f>
        <v>10037014.142000001</v>
      </c>
      <c r="X328" s="32">
        <f>(+VLOOKUP(C328,'Transporte y Viaticos'!$B$87:$L$120,2,0)*'Parametros Generales'!$C$7*R328)*(2/3)</f>
        <v>682220.0468763297</v>
      </c>
      <c r="Y328" s="417"/>
      <c r="Z328" s="417"/>
      <c r="AA328" s="417"/>
      <c r="AB328" s="417">
        <f>+M328*'Parametros Generales'!$C$6*'Parametros Generales'!$J$9</f>
        <v>3895272.7272727285</v>
      </c>
      <c r="AC328" s="417">
        <f>+H328*'Parametros Generales'!$J$10*'Parametros Generales'!$C$6*'Parametros Generales'!$C$11</f>
        <v>14738498.767401624</v>
      </c>
      <c r="AD328" s="417"/>
      <c r="AE328" s="417"/>
      <c r="AF328" s="417"/>
      <c r="AG328" s="417"/>
      <c r="AH328" s="417"/>
      <c r="AI328" s="417"/>
      <c r="AJ328" s="417"/>
      <c r="AK328" s="436"/>
      <c r="AL328" s="822"/>
    </row>
    <row r="329" spans="1:38" s="33" customFormat="1" hidden="1" outlineLevel="1">
      <c r="A329" s="1150"/>
      <c r="B329" s="821">
        <v>17</v>
      </c>
      <c r="C329" s="371" t="s">
        <v>217</v>
      </c>
      <c r="D329" s="31">
        <f>+VLOOKUP(E329,Codigos!$A$1:$B$1123,2,0)</f>
        <v>17444</v>
      </c>
      <c r="E329" s="1112" t="s">
        <v>1804</v>
      </c>
      <c r="F329" s="1103">
        <v>1</v>
      </c>
      <c r="G329" s="30">
        <v>198</v>
      </c>
      <c r="H329" s="1061">
        <f>CEILING(G329,'Parametros Generales'!$C$8)</f>
        <v>200</v>
      </c>
      <c r="I329" s="1059" t="s">
        <v>229</v>
      </c>
      <c r="J329" s="1058">
        <v>200</v>
      </c>
      <c r="K329" s="1070" t="str">
        <f t="shared" si="25"/>
        <v>Ok</v>
      </c>
      <c r="L329" s="1077">
        <f t="shared" si="26"/>
        <v>0</v>
      </c>
      <c r="M329" s="1090">
        <f>+H329/'Parametros Generales'!$C$8</f>
        <v>8</v>
      </c>
      <c r="N329" s="1097"/>
      <c r="O329" s="1097"/>
      <c r="P329" s="1097"/>
      <c r="Q329" s="1097"/>
      <c r="R329" s="1097">
        <f>+(M329/'Parametros Generales'!$C$9)</f>
        <v>2</v>
      </c>
      <c r="S329" s="390"/>
      <c r="T329" s="390"/>
      <c r="U329" s="390"/>
      <c r="V329" s="389"/>
      <c r="W329" s="32">
        <f>+R329*'Componentes T.H.'!$Q$9*'Parametros Generales'!$C$6</f>
        <v>10037014.142000001</v>
      </c>
      <c r="X329" s="32">
        <f>(+VLOOKUP(C329,'Transporte y Viaticos'!$B$87:$L$120,2,0)*'Parametros Generales'!$C$7*R329)*(2/3)</f>
        <v>682220.0468763297</v>
      </c>
      <c r="Y329" s="417"/>
      <c r="Z329" s="417"/>
      <c r="AA329" s="417"/>
      <c r="AB329" s="417">
        <f>+M329*'Parametros Generales'!$C$6*'Parametros Generales'!$J$9</f>
        <v>3895272.7272727285</v>
      </c>
      <c r="AC329" s="417">
        <f>+H329*'Parametros Generales'!$J$10*'Parametros Generales'!$C$6*'Parametros Generales'!$C$11</f>
        <v>14738498.767401624</v>
      </c>
      <c r="AD329" s="417"/>
      <c r="AE329" s="417"/>
      <c r="AF329" s="417"/>
      <c r="AG329" s="417"/>
      <c r="AH329" s="417"/>
      <c r="AI329" s="417"/>
      <c r="AJ329" s="417"/>
      <c r="AK329" s="436"/>
      <c r="AL329" s="822"/>
    </row>
    <row r="330" spans="1:38" s="33" customFormat="1" hidden="1" outlineLevel="1">
      <c r="A330" s="1150"/>
      <c r="B330" s="821">
        <v>17</v>
      </c>
      <c r="C330" s="371" t="s">
        <v>217</v>
      </c>
      <c r="D330" s="31">
        <f>+VLOOKUP(E330,Codigos!$A$1:$B$1123,2,0)</f>
        <v>17446</v>
      </c>
      <c r="E330" s="1112" t="s">
        <v>1805</v>
      </c>
      <c r="F330" s="1103">
        <v>1</v>
      </c>
      <c r="G330" s="30">
        <v>198</v>
      </c>
      <c r="H330" s="1061">
        <f>CEILING((G330-150),'Parametros Generales'!$C$8)</f>
        <v>50</v>
      </c>
      <c r="I330" s="1059" t="s">
        <v>230</v>
      </c>
      <c r="J330" s="1058">
        <v>50</v>
      </c>
      <c r="K330" s="1070" t="str">
        <f t="shared" si="25"/>
        <v>Ok</v>
      </c>
      <c r="L330" s="1077">
        <f t="shared" si="26"/>
        <v>0</v>
      </c>
      <c r="M330" s="1090">
        <f>+H330/'Parametros Generales'!$C$8</f>
        <v>2</v>
      </c>
      <c r="N330" s="1097"/>
      <c r="O330" s="1097"/>
      <c r="P330" s="1097"/>
      <c r="Q330" s="1097"/>
      <c r="R330" s="1097">
        <f>+(M330/'Parametros Generales'!$C$9)</f>
        <v>0.5</v>
      </c>
      <c r="S330" s="390"/>
      <c r="T330" s="390"/>
      <c r="U330" s="390"/>
      <c r="V330" s="389"/>
      <c r="W330" s="32">
        <f>+R330*'Componentes T.H.'!$Q$9*'Parametros Generales'!$C$6</f>
        <v>2509253.5355000002</v>
      </c>
      <c r="X330" s="32">
        <f>(+VLOOKUP(C330,'Transporte y Viaticos'!$B$87:$L$120,2,0)*'Parametros Generales'!$C$7*R330)*(2/3)</f>
        <v>170555.01171908242</v>
      </c>
      <c r="Y330" s="417"/>
      <c r="Z330" s="417"/>
      <c r="AA330" s="417"/>
      <c r="AB330" s="417">
        <f>+M330*'Parametros Generales'!$C$6*'Parametros Generales'!$J$9</f>
        <v>973818.18181818211</v>
      </c>
      <c r="AC330" s="417">
        <f>+H330*'Parametros Generales'!$J$10*'Parametros Generales'!$C$6*'Parametros Generales'!$C$11</f>
        <v>3684624.6918504061</v>
      </c>
      <c r="AD330" s="417"/>
      <c r="AE330" s="417"/>
      <c r="AF330" s="417"/>
      <c r="AG330" s="417"/>
      <c r="AH330" s="417"/>
      <c r="AI330" s="417"/>
      <c r="AJ330" s="417"/>
      <c r="AK330" s="436"/>
      <c r="AL330" s="822"/>
    </row>
    <row r="331" spans="1:38" s="33" customFormat="1" hidden="1" outlineLevel="1">
      <c r="A331" s="1150"/>
      <c r="B331" s="821">
        <v>17</v>
      </c>
      <c r="C331" s="371" t="s">
        <v>217</v>
      </c>
      <c r="D331" s="31">
        <f>+VLOOKUP(E331,Codigos!$A$1:$B$1123,2,0)</f>
        <v>17486</v>
      </c>
      <c r="E331" s="1112" t="s">
        <v>1806</v>
      </c>
      <c r="F331" s="1103">
        <v>1</v>
      </c>
      <c r="G331" s="30">
        <v>198</v>
      </c>
      <c r="H331" s="1061">
        <f>CEILING(G331,'Parametros Generales'!$C$8)</f>
        <v>200</v>
      </c>
      <c r="I331" s="1059" t="s">
        <v>231</v>
      </c>
      <c r="J331" s="1058">
        <v>200</v>
      </c>
      <c r="K331" s="1070" t="str">
        <f t="shared" si="25"/>
        <v>Ok</v>
      </c>
      <c r="L331" s="1077">
        <f t="shared" si="26"/>
        <v>0</v>
      </c>
      <c r="M331" s="1090">
        <f>+H331/'Parametros Generales'!$C$8</f>
        <v>8</v>
      </c>
      <c r="N331" s="1097"/>
      <c r="O331" s="1097"/>
      <c r="P331" s="1097"/>
      <c r="Q331" s="1097"/>
      <c r="R331" s="1097">
        <f>+(M331/'Parametros Generales'!$C$9)</f>
        <v>2</v>
      </c>
      <c r="S331" s="390"/>
      <c r="T331" s="390"/>
      <c r="U331" s="390"/>
      <c r="V331" s="389"/>
      <c r="W331" s="32">
        <f>+R331*'Componentes T.H.'!$Q$9*'Parametros Generales'!$C$6</f>
        <v>10037014.142000001</v>
      </c>
      <c r="X331" s="32">
        <f>(+VLOOKUP(C331,'Transporte y Viaticos'!$B$87:$L$120,2,0)*'Parametros Generales'!$C$7*R331)*(2/3)</f>
        <v>682220.0468763297</v>
      </c>
      <c r="Y331" s="417"/>
      <c r="Z331" s="417"/>
      <c r="AA331" s="417"/>
      <c r="AB331" s="417">
        <f>+M331*'Parametros Generales'!$C$6*'Parametros Generales'!$J$9</f>
        <v>3895272.7272727285</v>
      </c>
      <c r="AC331" s="417">
        <f>+H331*'Parametros Generales'!$J$10*'Parametros Generales'!$C$6*'Parametros Generales'!$C$11</f>
        <v>14738498.767401624</v>
      </c>
      <c r="AD331" s="417"/>
      <c r="AE331" s="417"/>
      <c r="AF331" s="417"/>
      <c r="AG331" s="417"/>
      <c r="AH331" s="417"/>
      <c r="AI331" s="417"/>
      <c r="AJ331" s="417"/>
      <c r="AK331" s="436"/>
      <c r="AL331" s="822"/>
    </row>
    <row r="332" spans="1:38" s="33" customFormat="1" hidden="1" outlineLevel="1">
      <c r="A332" s="1150"/>
      <c r="B332" s="821">
        <v>17</v>
      </c>
      <c r="C332" s="371" t="s">
        <v>217</v>
      </c>
      <c r="D332" s="31">
        <f>+VLOOKUP(E332,Codigos!$A$1:$B$1123,2,0)</f>
        <v>17495</v>
      </c>
      <c r="E332" s="1112" t="s">
        <v>1807</v>
      </c>
      <c r="F332" s="1103">
        <v>1</v>
      </c>
      <c r="G332" s="30">
        <v>198</v>
      </c>
      <c r="H332" s="1061">
        <f>CEILING((G332-100),'Parametros Generales'!$C$8)</f>
        <v>100</v>
      </c>
      <c r="I332" s="1059" t="s">
        <v>232</v>
      </c>
      <c r="J332" s="1058">
        <v>100</v>
      </c>
      <c r="K332" s="1070" t="str">
        <f t="shared" si="25"/>
        <v>Ok</v>
      </c>
      <c r="L332" s="1077">
        <f t="shared" si="26"/>
        <v>0</v>
      </c>
      <c r="M332" s="1090">
        <f>+H332/'Parametros Generales'!$C$8</f>
        <v>4</v>
      </c>
      <c r="N332" s="1097"/>
      <c r="O332" s="1097"/>
      <c r="P332" s="1097"/>
      <c r="Q332" s="1097"/>
      <c r="R332" s="1097">
        <f>+(M332/'Parametros Generales'!$C$9)</f>
        <v>1</v>
      </c>
      <c r="S332" s="390"/>
      <c r="T332" s="390"/>
      <c r="U332" s="390"/>
      <c r="V332" s="389"/>
      <c r="W332" s="32">
        <f>+R332*'Componentes T.H.'!$Q$9*'Parametros Generales'!$C$6</f>
        <v>5018507.0710000005</v>
      </c>
      <c r="X332" s="32">
        <f>(+VLOOKUP(C332,'Transporte y Viaticos'!$B$87:$L$120,2,0)*'Parametros Generales'!$C$7*R332)*(2/3)</f>
        <v>341110.02343816485</v>
      </c>
      <c r="Y332" s="417"/>
      <c r="Z332" s="417"/>
      <c r="AA332" s="417"/>
      <c r="AB332" s="417">
        <f>+M332*'Parametros Generales'!$C$6*'Parametros Generales'!$J$9</f>
        <v>1947636.3636363642</v>
      </c>
      <c r="AC332" s="417">
        <f>+H332*'Parametros Generales'!$J$10*'Parametros Generales'!$C$6*'Parametros Generales'!$C$11</f>
        <v>7369249.3837008122</v>
      </c>
      <c r="AD332" s="417"/>
      <c r="AE332" s="417"/>
      <c r="AF332" s="417"/>
      <c r="AG332" s="417"/>
      <c r="AH332" s="417"/>
      <c r="AI332" s="417"/>
      <c r="AJ332" s="417"/>
      <c r="AK332" s="436"/>
      <c r="AL332" s="822"/>
    </row>
    <row r="333" spans="1:38" s="33" customFormat="1" hidden="1" outlineLevel="1">
      <c r="A333" s="1150"/>
      <c r="B333" s="821">
        <v>17</v>
      </c>
      <c r="C333" s="371" t="s">
        <v>217</v>
      </c>
      <c r="D333" s="31">
        <f>+VLOOKUP(E333,Codigos!$A$1:$B$1123,2,0)</f>
        <v>17513</v>
      </c>
      <c r="E333" s="1112" t="s">
        <v>1808</v>
      </c>
      <c r="F333" s="1103">
        <v>1</v>
      </c>
      <c r="G333" s="30">
        <v>198</v>
      </c>
      <c r="H333" s="1061">
        <f>CEILING(G333,'Parametros Generales'!$C$8)</f>
        <v>200</v>
      </c>
      <c r="I333" s="1059" t="s">
        <v>233</v>
      </c>
      <c r="J333" s="1058">
        <v>200</v>
      </c>
      <c r="K333" s="1070" t="str">
        <f t="shared" si="25"/>
        <v>Ok</v>
      </c>
      <c r="L333" s="1077">
        <f t="shared" si="26"/>
        <v>0</v>
      </c>
      <c r="M333" s="1090">
        <f>+H333/'Parametros Generales'!$C$8</f>
        <v>8</v>
      </c>
      <c r="N333" s="1097"/>
      <c r="O333" s="1097"/>
      <c r="P333" s="1097"/>
      <c r="Q333" s="1097"/>
      <c r="R333" s="1097">
        <f>+(M333/'Parametros Generales'!$C$9)</f>
        <v>2</v>
      </c>
      <c r="S333" s="390"/>
      <c r="T333" s="390"/>
      <c r="U333" s="390"/>
      <c r="V333" s="389"/>
      <c r="W333" s="32">
        <f>+R333*'Componentes T.H.'!$Q$9*'Parametros Generales'!$C$6</f>
        <v>10037014.142000001</v>
      </c>
      <c r="X333" s="32">
        <f>(+VLOOKUP(C333,'Transporte y Viaticos'!$B$87:$L$120,2,0)*'Parametros Generales'!$C$7*R333)*(2/3)</f>
        <v>682220.0468763297</v>
      </c>
      <c r="Y333" s="417"/>
      <c r="Z333" s="417"/>
      <c r="AA333" s="417"/>
      <c r="AB333" s="417">
        <f>+M333*'Parametros Generales'!$C$6*'Parametros Generales'!$J$9</f>
        <v>3895272.7272727285</v>
      </c>
      <c r="AC333" s="417">
        <f>+H333*'Parametros Generales'!$J$10*'Parametros Generales'!$C$6*'Parametros Generales'!$C$11</f>
        <v>14738498.767401624</v>
      </c>
      <c r="AD333" s="417"/>
      <c r="AE333" s="417"/>
      <c r="AF333" s="417"/>
      <c r="AG333" s="417"/>
      <c r="AH333" s="417"/>
      <c r="AI333" s="417"/>
      <c r="AJ333" s="417"/>
      <c r="AK333" s="436"/>
      <c r="AL333" s="822"/>
    </row>
    <row r="334" spans="1:38" s="33" customFormat="1" hidden="1" outlineLevel="1">
      <c r="A334" s="1150"/>
      <c r="B334" s="821">
        <v>17</v>
      </c>
      <c r="C334" s="371" t="s">
        <v>217</v>
      </c>
      <c r="D334" s="31">
        <f>+VLOOKUP(E334,Codigos!$A$1:$B$1123,2,0)</f>
        <v>17524</v>
      </c>
      <c r="E334" s="1112" t="s">
        <v>1809</v>
      </c>
      <c r="F334" s="1103">
        <v>1</v>
      </c>
      <c r="G334" s="30">
        <v>198</v>
      </c>
      <c r="H334" s="1061">
        <f>CEILING(G334,'Parametros Generales'!$C$8)</f>
        <v>200</v>
      </c>
      <c r="I334" s="1059" t="s">
        <v>234</v>
      </c>
      <c r="J334" s="1058">
        <v>200</v>
      </c>
      <c r="K334" s="1070" t="str">
        <f t="shared" si="25"/>
        <v>Ok</v>
      </c>
      <c r="L334" s="1077">
        <f t="shared" si="26"/>
        <v>0</v>
      </c>
      <c r="M334" s="1090">
        <f>+H334/'Parametros Generales'!$C$8</f>
        <v>8</v>
      </c>
      <c r="N334" s="1097"/>
      <c r="O334" s="1097"/>
      <c r="P334" s="1097"/>
      <c r="Q334" s="1097"/>
      <c r="R334" s="1097">
        <f>+(M334/'Parametros Generales'!$C$9)</f>
        <v>2</v>
      </c>
      <c r="S334" s="390"/>
      <c r="T334" s="390"/>
      <c r="U334" s="390"/>
      <c r="V334" s="389"/>
      <c r="W334" s="32">
        <f>+R334*'Componentes T.H.'!$Q$9*'Parametros Generales'!$C$6</f>
        <v>10037014.142000001</v>
      </c>
      <c r="X334" s="32">
        <f>(+VLOOKUP(C334,'Transporte y Viaticos'!$B$87:$L$120,2,0)*'Parametros Generales'!$C$7*R334)*(2/3)</f>
        <v>682220.0468763297</v>
      </c>
      <c r="Y334" s="417"/>
      <c r="Z334" s="417"/>
      <c r="AA334" s="417"/>
      <c r="AB334" s="417">
        <f>+M334*'Parametros Generales'!$C$6*'Parametros Generales'!$J$9</f>
        <v>3895272.7272727285</v>
      </c>
      <c r="AC334" s="417">
        <f>+H334*'Parametros Generales'!$J$10*'Parametros Generales'!$C$6*'Parametros Generales'!$C$11</f>
        <v>14738498.767401624</v>
      </c>
      <c r="AD334" s="417"/>
      <c r="AE334" s="417"/>
      <c r="AF334" s="417"/>
      <c r="AG334" s="417"/>
      <c r="AH334" s="417"/>
      <c r="AI334" s="417"/>
      <c r="AJ334" s="417"/>
      <c r="AK334" s="436"/>
      <c r="AL334" s="822"/>
    </row>
    <row r="335" spans="1:38" s="33" customFormat="1" hidden="1" outlineLevel="1">
      <c r="A335" s="1150"/>
      <c r="B335" s="821">
        <v>17</v>
      </c>
      <c r="C335" s="371" t="s">
        <v>217</v>
      </c>
      <c r="D335" s="31">
        <f>+VLOOKUP(E335,Codigos!$A$1:$B$1123,2,0)</f>
        <v>17541</v>
      </c>
      <c r="E335" s="1111" t="s">
        <v>1810</v>
      </c>
      <c r="F335" s="1103">
        <v>1</v>
      </c>
      <c r="G335" s="30">
        <v>198</v>
      </c>
      <c r="H335" s="1061">
        <f>CEILING((G335-50),'Parametros Generales'!$C$8)</f>
        <v>150</v>
      </c>
      <c r="I335" s="1057" t="s">
        <v>235</v>
      </c>
      <c r="J335" s="1058">
        <v>150</v>
      </c>
      <c r="K335" s="1070" t="str">
        <f t="shared" si="25"/>
        <v>Ok</v>
      </c>
      <c r="L335" s="1077">
        <f t="shared" si="26"/>
        <v>0</v>
      </c>
      <c r="M335" s="1090">
        <f>+H335/'Parametros Generales'!$C$8</f>
        <v>6</v>
      </c>
      <c r="N335" s="1097"/>
      <c r="O335" s="1097"/>
      <c r="P335" s="1097"/>
      <c r="Q335" s="1097"/>
      <c r="R335" s="1097">
        <f>+(M335/'Parametros Generales'!$C$9)</f>
        <v>1.5</v>
      </c>
      <c r="S335" s="390"/>
      <c r="T335" s="390"/>
      <c r="U335" s="390"/>
      <c r="V335" s="389"/>
      <c r="W335" s="32">
        <f>+R335*'Componentes T.H.'!$Q$9*'Parametros Generales'!$C$6</f>
        <v>7527760.6064999998</v>
      </c>
      <c r="X335" s="32">
        <f>(+VLOOKUP(C335,'Transporte y Viaticos'!$B$87:$L$120,2,0)*'Parametros Generales'!$C$7*R335)*(2/3)</f>
        <v>511665.03515724727</v>
      </c>
      <c r="Y335" s="417"/>
      <c r="Z335" s="417"/>
      <c r="AA335" s="417"/>
      <c r="AB335" s="417">
        <f>+M335*'Parametros Generales'!$C$6*'Parametros Generales'!$J$9</f>
        <v>2921454.5454545463</v>
      </c>
      <c r="AC335" s="417">
        <f>+H335*'Parametros Generales'!$J$10*'Parametros Generales'!$C$6*'Parametros Generales'!$C$11</f>
        <v>11053874.075551221</v>
      </c>
      <c r="AD335" s="417"/>
      <c r="AE335" s="417"/>
      <c r="AF335" s="417"/>
      <c r="AG335" s="417"/>
      <c r="AH335" s="417"/>
      <c r="AI335" s="417"/>
      <c r="AJ335" s="417"/>
      <c r="AK335" s="436"/>
      <c r="AL335" s="822"/>
    </row>
    <row r="336" spans="1:38" s="33" customFormat="1" hidden="1" outlineLevel="1">
      <c r="A336" s="1150"/>
      <c r="B336" s="821">
        <v>17</v>
      </c>
      <c r="C336" s="371" t="s">
        <v>217</v>
      </c>
      <c r="D336" s="31">
        <f>+VLOOKUP(E336,Codigos!$A$1:$B$1123,2,0)</f>
        <v>17614</v>
      </c>
      <c r="E336" s="1111" t="s">
        <v>1811</v>
      </c>
      <c r="F336" s="1103">
        <v>1</v>
      </c>
      <c r="G336" s="30">
        <v>198</v>
      </c>
      <c r="H336" s="1061">
        <f>CEILING(G336,'Parametros Generales'!$C$8)</f>
        <v>200</v>
      </c>
      <c r="I336" s="1057" t="s">
        <v>236</v>
      </c>
      <c r="J336" s="1058">
        <v>200</v>
      </c>
      <c r="K336" s="1070" t="str">
        <f t="shared" si="25"/>
        <v>Ok</v>
      </c>
      <c r="L336" s="1077">
        <f t="shared" si="26"/>
        <v>0</v>
      </c>
      <c r="M336" s="1090">
        <f>+H336/'Parametros Generales'!$C$8</f>
        <v>8</v>
      </c>
      <c r="N336" s="1097"/>
      <c r="O336" s="1097"/>
      <c r="P336" s="1097"/>
      <c r="Q336" s="1097"/>
      <c r="R336" s="1097">
        <f>+(M336/'Parametros Generales'!$C$9)</f>
        <v>2</v>
      </c>
      <c r="S336" s="390"/>
      <c r="T336" s="390"/>
      <c r="U336" s="390"/>
      <c r="V336" s="389"/>
      <c r="W336" s="32">
        <f>+R336*'Componentes T.H.'!$Q$9*'Parametros Generales'!$C$6</f>
        <v>10037014.142000001</v>
      </c>
      <c r="X336" s="32">
        <f>(+VLOOKUP(C336,'Transporte y Viaticos'!$B$87:$L$120,2,0)*'Parametros Generales'!$C$7*R336)*(2/3)</f>
        <v>682220.0468763297</v>
      </c>
      <c r="Y336" s="417"/>
      <c r="Z336" s="417"/>
      <c r="AA336" s="417"/>
      <c r="AB336" s="417">
        <f>+M336*'Parametros Generales'!$C$6*'Parametros Generales'!$J$9</f>
        <v>3895272.7272727285</v>
      </c>
      <c r="AC336" s="417">
        <f>+H336*'Parametros Generales'!$J$10*'Parametros Generales'!$C$6*'Parametros Generales'!$C$11</f>
        <v>14738498.767401624</v>
      </c>
      <c r="AD336" s="417"/>
      <c r="AE336" s="417"/>
      <c r="AF336" s="417"/>
      <c r="AG336" s="417"/>
      <c r="AH336" s="417"/>
      <c r="AI336" s="417"/>
      <c r="AJ336" s="417"/>
      <c r="AK336" s="436"/>
      <c r="AL336" s="822"/>
    </row>
    <row r="337" spans="1:38" s="33" customFormat="1" hidden="1" outlineLevel="1">
      <c r="A337" s="1150"/>
      <c r="B337" s="821">
        <v>17</v>
      </c>
      <c r="C337" s="371" t="s">
        <v>217</v>
      </c>
      <c r="D337" s="31">
        <f>+VLOOKUP(E337,Codigos!$A$1:$B$1123,2,0)</f>
        <v>17616</v>
      </c>
      <c r="E337" s="1112" t="s">
        <v>1812</v>
      </c>
      <c r="F337" s="1103">
        <v>1</v>
      </c>
      <c r="G337" s="30">
        <v>198</v>
      </c>
      <c r="H337" s="1061">
        <f>CEILING(G337,'Parametros Generales'!$C$8)</f>
        <v>200</v>
      </c>
      <c r="I337" s="1059" t="s">
        <v>237</v>
      </c>
      <c r="J337" s="1058">
        <v>200</v>
      </c>
      <c r="K337" s="1070" t="str">
        <f t="shared" si="25"/>
        <v>Ok</v>
      </c>
      <c r="L337" s="1077">
        <f t="shared" si="26"/>
        <v>0</v>
      </c>
      <c r="M337" s="1090">
        <f>+H337/'Parametros Generales'!$C$8</f>
        <v>8</v>
      </c>
      <c r="N337" s="1097"/>
      <c r="O337" s="1097"/>
      <c r="P337" s="1097"/>
      <c r="Q337" s="1097"/>
      <c r="R337" s="1097">
        <f>+(M337/'Parametros Generales'!$C$9)</f>
        <v>2</v>
      </c>
      <c r="S337" s="390"/>
      <c r="T337" s="390"/>
      <c r="U337" s="390"/>
      <c r="V337" s="389"/>
      <c r="W337" s="32">
        <f>+R337*'Componentes T.H.'!$Q$9*'Parametros Generales'!$C$6</f>
        <v>10037014.142000001</v>
      </c>
      <c r="X337" s="32">
        <f>(+VLOOKUP(C337,'Transporte y Viaticos'!$B$87:$L$120,2,0)*'Parametros Generales'!$C$7*R337)*(2/3)</f>
        <v>682220.0468763297</v>
      </c>
      <c r="Y337" s="417"/>
      <c r="Z337" s="417"/>
      <c r="AA337" s="417"/>
      <c r="AB337" s="417">
        <f>+M337*'Parametros Generales'!$C$6*'Parametros Generales'!$J$9</f>
        <v>3895272.7272727285</v>
      </c>
      <c r="AC337" s="417">
        <f>+H337*'Parametros Generales'!$J$10*'Parametros Generales'!$C$6*'Parametros Generales'!$C$11</f>
        <v>14738498.767401624</v>
      </c>
      <c r="AD337" s="417"/>
      <c r="AE337" s="417"/>
      <c r="AF337" s="417"/>
      <c r="AG337" s="417"/>
      <c r="AH337" s="417"/>
      <c r="AI337" s="417"/>
      <c r="AJ337" s="417"/>
      <c r="AK337" s="436"/>
      <c r="AL337" s="822"/>
    </row>
    <row r="338" spans="1:38" s="33" customFormat="1" hidden="1" outlineLevel="1">
      <c r="A338" s="1150"/>
      <c r="B338" s="821">
        <v>17</v>
      </c>
      <c r="C338" s="371" t="s">
        <v>217</v>
      </c>
      <c r="D338" s="31">
        <f>+VLOOKUP(E338,Codigos!$A$1:$B$1123,2,0)</f>
        <v>17653</v>
      </c>
      <c r="E338" s="1111" t="s">
        <v>1813</v>
      </c>
      <c r="F338" s="1103">
        <v>1</v>
      </c>
      <c r="G338" s="30">
        <v>198</v>
      </c>
      <c r="H338" s="1061">
        <f>CEILING(G338,'Parametros Generales'!$C$8)</f>
        <v>200</v>
      </c>
      <c r="I338" s="1057" t="s">
        <v>238</v>
      </c>
      <c r="J338" s="1058">
        <v>200</v>
      </c>
      <c r="K338" s="1070" t="str">
        <f t="shared" si="25"/>
        <v>Ok</v>
      </c>
      <c r="L338" s="1077">
        <f t="shared" si="26"/>
        <v>0</v>
      </c>
      <c r="M338" s="1090">
        <f>+H338/'Parametros Generales'!$C$8</f>
        <v>8</v>
      </c>
      <c r="N338" s="1097"/>
      <c r="O338" s="1097"/>
      <c r="P338" s="1097"/>
      <c r="Q338" s="1097"/>
      <c r="R338" s="1097">
        <f>+(M338/'Parametros Generales'!$C$9)</f>
        <v>2</v>
      </c>
      <c r="S338" s="390"/>
      <c r="T338" s="390"/>
      <c r="U338" s="390"/>
      <c r="V338" s="389"/>
      <c r="W338" s="32">
        <f>+R338*'Componentes T.H.'!$Q$9*'Parametros Generales'!$C$6</f>
        <v>10037014.142000001</v>
      </c>
      <c r="X338" s="32">
        <f>(+VLOOKUP(C338,'Transporte y Viaticos'!$B$87:$L$120,2,0)*'Parametros Generales'!$C$7*R338)*(2/3)</f>
        <v>682220.0468763297</v>
      </c>
      <c r="Y338" s="417"/>
      <c r="Z338" s="417"/>
      <c r="AA338" s="417"/>
      <c r="AB338" s="417">
        <f>+M338*'Parametros Generales'!$C$6*'Parametros Generales'!$J$9</f>
        <v>3895272.7272727285</v>
      </c>
      <c r="AC338" s="417">
        <f>+H338*'Parametros Generales'!$J$10*'Parametros Generales'!$C$6*'Parametros Generales'!$C$11</f>
        <v>14738498.767401624</v>
      </c>
      <c r="AD338" s="417"/>
      <c r="AE338" s="417"/>
      <c r="AF338" s="417"/>
      <c r="AG338" s="417"/>
      <c r="AH338" s="417"/>
      <c r="AI338" s="417"/>
      <c r="AJ338" s="417"/>
      <c r="AK338" s="436"/>
      <c r="AL338" s="822"/>
    </row>
    <row r="339" spans="1:38" s="33" customFormat="1" hidden="1" outlineLevel="1">
      <c r="A339" s="1150"/>
      <c r="B339" s="821">
        <v>17</v>
      </c>
      <c r="C339" s="371" t="s">
        <v>217</v>
      </c>
      <c r="D339" s="31">
        <f>+VLOOKUP(E339,Codigos!$A$1:$B$1123,2,0)</f>
        <v>17662</v>
      </c>
      <c r="E339" s="1111" t="s">
        <v>1814</v>
      </c>
      <c r="F339" s="1103">
        <v>1</v>
      </c>
      <c r="G339" s="30">
        <v>198</v>
      </c>
      <c r="H339" s="1061">
        <f>CEILING(G339,'Parametros Generales'!$C$8)</f>
        <v>200</v>
      </c>
      <c r="I339" s="1057" t="s">
        <v>239</v>
      </c>
      <c r="J339" s="1058">
        <v>200</v>
      </c>
      <c r="K339" s="1070" t="str">
        <f t="shared" si="25"/>
        <v>Ok</v>
      </c>
      <c r="L339" s="1077">
        <f t="shared" si="26"/>
        <v>0</v>
      </c>
      <c r="M339" s="1090">
        <f>+H339/'Parametros Generales'!$C$8</f>
        <v>8</v>
      </c>
      <c r="N339" s="1097"/>
      <c r="O339" s="1097"/>
      <c r="P339" s="1097"/>
      <c r="Q339" s="1097"/>
      <c r="R339" s="1097">
        <f>+(M339/'Parametros Generales'!$C$9)</f>
        <v>2</v>
      </c>
      <c r="S339" s="390"/>
      <c r="T339" s="390"/>
      <c r="U339" s="390"/>
      <c r="V339" s="389"/>
      <c r="W339" s="32">
        <f>+R339*'Componentes T.H.'!$Q$9*'Parametros Generales'!$C$6</f>
        <v>10037014.142000001</v>
      </c>
      <c r="X339" s="32">
        <f>(+VLOOKUP(C339,'Transporte y Viaticos'!$B$87:$L$120,2,0)*'Parametros Generales'!$C$7*R339)*(2/3)</f>
        <v>682220.0468763297</v>
      </c>
      <c r="Y339" s="417"/>
      <c r="Z339" s="417"/>
      <c r="AA339" s="417"/>
      <c r="AB339" s="417">
        <f>+M339*'Parametros Generales'!$C$6*'Parametros Generales'!$J$9</f>
        <v>3895272.7272727285</v>
      </c>
      <c r="AC339" s="417">
        <f>+H339*'Parametros Generales'!$J$10*'Parametros Generales'!$C$6*'Parametros Generales'!$C$11</f>
        <v>14738498.767401624</v>
      </c>
      <c r="AD339" s="417"/>
      <c r="AE339" s="417"/>
      <c r="AF339" s="417"/>
      <c r="AG339" s="417"/>
      <c r="AH339" s="417"/>
      <c r="AI339" s="417"/>
      <c r="AJ339" s="417"/>
      <c r="AK339" s="436"/>
      <c r="AL339" s="822"/>
    </row>
    <row r="340" spans="1:38" s="33" customFormat="1" hidden="1" outlineLevel="1">
      <c r="A340" s="1150"/>
      <c r="B340" s="821">
        <v>17</v>
      </c>
      <c r="C340" s="371" t="s">
        <v>217</v>
      </c>
      <c r="D340" s="31">
        <f>+VLOOKUP(E340,Codigos!$A$1:$B$1123,2,0)</f>
        <v>17665</v>
      </c>
      <c r="E340" s="1112" t="s">
        <v>1815</v>
      </c>
      <c r="F340" s="1103">
        <v>1</v>
      </c>
      <c r="G340" s="30">
        <v>198</v>
      </c>
      <c r="H340" s="1061">
        <f>CEILING((G340-150),'Parametros Generales'!$C$8)</f>
        <v>50</v>
      </c>
      <c r="I340" s="1059" t="s">
        <v>240</v>
      </c>
      <c r="J340" s="1058">
        <v>50</v>
      </c>
      <c r="K340" s="1070" t="str">
        <f t="shared" si="25"/>
        <v>Ok</v>
      </c>
      <c r="L340" s="1077">
        <f t="shared" si="26"/>
        <v>0</v>
      </c>
      <c r="M340" s="1090">
        <f>+H340/'Parametros Generales'!$C$8</f>
        <v>2</v>
      </c>
      <c r="N340" s="1097"/>
      <c r="O340" s="1097"/>
      <c r="P340" s="1097"/>
      <c r="Q340" s="1097"/>
      <c r="R340" s="1097">
        <f>+(M340/'Parametros Generales'!$C$9)</f>
        <v>0.5</v>
      </c>
      <c r="S340" s="390"/>
      <c r="T340" s="390"/>
      <c r="U340" s="390"/>
      <c r="V340" s="389"/>
      <c r="W340" s="32">
        <f>+R340*'Componentes T.H.'!$Q$9*'Parametros Generales'!$C$6</f>
        <v>2509253.5355000002</v>
      </c>
      <c r="X340" s="32">
        <f>(+VLOOKUP(C340,'Transporte y Viaticos'!$B$87:$L$120,2,0)*'Parametros Generales'!$C$7*R340)*(2/3)</f>
        <v>170555.01171908242</v>
      </c>
      <c r="Y340" s="417"/>
      <c r="Z340" s="417"/>
      <c r="AA340" s="417"/>
      <c r="AB340" s="417">
        <f>+M340*'Parametros Generales'!$C$6*'Parametros Generales'!$J$9</f>
        <v>973818.18181818211</v>
      </c>
      <c r="AC340" s="417">
        <f>+H340*'Parametros Generales'!$J$10*'Parametros Generales'!$C$6*'Parametros Generales'!$C$11</f>
        <v>3684624.6918504061</v>
      </c>
      <c r="AD340" s="417"/>
      <c r="AE340" s="417"/>
      <c r="AF340" s="417"/>
      <c r="AG340" s="417"/>
      <c r="AH340" s="417"/>
      <c r="AI340" s="417"/>
      <c r="AJ340" s="417"/>
      <c r="AK340" s="436"/>
      <c r="AL340" s="822"/>
    </row>
    <row r="341" spans="1:38" s="33" customFormat="1" hidden="1" outlineLevel="1">
      <c r="A341" s="1150"/>
      <c r="B341" s="821">
        <v>17</v>
      </c>
      <c r="C341" s="371" t="s">
        <v>217</v>
      </c>
      <c r="D341" s="31">
        <f>+VLOOKUP(E341,Codigos!$A$1:$B$1123,2,0)</f>
        <v>17777</v>
      </c>
      <c r="E341" s="1111" t="s">
        <v>1816</v>
      </c>
      <c r="F341" s="1103">
        <v>1</v>
      </c>
      <c r="G341" s="30">
        <v>198</v>
      </c>
      <c r="H341" s="1061">
        <f>CEILING(G341,'Parametros Generales'!$C$8)</f>
        <v>200</v>
      </c>
      <c r="I341" s="1057" t="s">
        <v>241</v>
      </c>
      <c r="J341" s="1058">
        <v>200</v>
      </c>
      <c r="K341" s="1070" t="str">
        <f t="shared" si="25"/>
        <v>Ok</v>
      </c>
      <c r="L341" s="1077">
        <f t="shared" si="26"/>
        <v>0</v>
      </c>
      <c r="M341" s="1090">
        <f>+H341/'Parametros Generales'!$C$8</f>
        <v>8</v>
      </c>
      <c r="N341" s="1097"/>
      <c r="O341" s="1097"/>
      <c r="P341" s="1097"/>
      <c r="Q341" s="1097"/>
      <c r="R341" s="1097">
        <f>+(M341/'Parametros Generales'!$C$9)</f>
        <v>2</v>
      </c>
      <c r="S341" s="390"/>
      <c r="T341" s="390"/>
      <c r="U341" s="390"/>
      <c r="V341" s="389"/>
      <c r="W341" s="32">
        <f>+R341*'Componentes T.H.'!$Q$9*'Parametros Generales'!$C$6</f>
        <v>10037014.142000001</v>
      </c>
      <c r="X341" s="32">
        <f>(+VLOOKUP(C341,'Transporte y Viaticos'!$B$87:$L$120,2,0)*'Parametros Generales'!$C$7*R341)*(2/3)</f>
        <v>682220.0468763297</v>
      </c>
      <c r="Y341" s="417"/>
      <c r="Z341" s="417"/>
      <c r="AA341" s="417"/>
      <c r="AB341" s="417">
        <f>+M341*'Parametros Generales'!$C$6*'Parametros Generales'!$J$9</f>
        <v>3895272.7272727285</v>
      </c>
      <c r="AC341" s="417">
        <f>+H341*'Parametros Generales'!$J$10*'Parametros Generales'!$C$6*'Parametros Generales'!$C$11</f>
        <v>14738498.767401624</v>
      </c>
      <c r="AD341" s="417"/>
      <c r="AE341" s="417"/>
      <c r="AF341" s="417"/>
      <c r="AG341" s="417"/>
      <c r="AH341" s="417"/>
      <c r="AI341" s="417"/>
      <c r="AJ341" s="417"/>
      <c r="AK341" s="436"/>
      <c r="AL341" s="822"/>
    </row>
    <row r="342" spans="1:38" s="33" customFormat="1" hidden="1" outlineLevel="1">
      <c r="A342" s="1150"/>
      <c r="B342" s="821">
        <v>17</v>
      </c>
      <c r="C342" s="371" t="s">
        <v>217</v>
      </c>
      <c r="D342" s="31">
        <f>+VLOOKUP(E342,Codigos!$A$1:$B$1123,2,0)</f>
        <v>17867</v>
      </c>
      <c r="E342" s="1112" t="s">
        <v>1817</v>
      </c>
      <c r="F342" s="1103">
        <v>1</v>
      </c>
      <c r="G342" s="30">
        <v>198</v>
      </c>
      <c r="H342" s="1061">
        <f>CEILING((G342-100),'Parametros Generales'!$C$8)</f>
        <v>100</v>
      </c>
      <c r="I342" s="1059" t="s">
        <v>242</v>
      </c>
      <c r="J342" s="1058">
        <v>100</v>
      </c>
      <c r="K342" s="1070" t="str">
        <f t="shared" si="25"/>
        <v>Ok</v>
      </c>
      <c r="L342" s="1077">
        <f t="shared" si="26"/>
        <v>0</v>
      </c>
      <c r="M342" s="1090">
        <f>+H342/'Parametros Generales'!$C$8</f>
        <v>4</v>
      </c>
      <c r="N342" s="1097"/>
      <c r="O342" s="1097"/>
      <c r="P342" s="1097"/>
      <c r="Q342" s="1097"/>
      <c r="R342" s="1097">
        <f>+(M342/'Parametros Generales'!$C$9)</f>
        <v>1</v>
      </c>
      <c r="S342" s="390"/>
      <c r="T342" s="390"/>
      <c r="U342" s="390"/>
      <c r="V342" s="389"/>
      <c r="W342" s="32">
        <f>+R342*'Componentes T.H.'!$Q$9*'Parametros Generales'!$C$6</f>
        <v>5018507.0710000005</v>
      </c>
      <c r="X342" s="32">
        <f>(+VLOOKUP(C342,'Transporte y Viaticos'!$B$87:$L$120,2,0)*'Parametros Generales'!$C$7*R342)*(2/3)</f>
        <v>341110.02343816485</v>
      </c>
      <c r="Y342" s="417"/>
      <c r="Z342" s="417"/>
      <c r="AA342" s="417"/>
      <c r="AB342" s="417">
        <f>+M342*'Parametros Generales'!$C$6*'Parametros Generales'!$J$9</f>
        <v>1947636.3636363642</v>
      </c>
      <c r="AC342" s="417">
        <f>+H342*'Parametros Generales'!$J$10*'Parametros Generales'!$C$6*'Parametros Generales'!$C$11</f>
        <v>7369249.3837008122</v>
      </c>
      <c r="AD342" s="417"/>
      <c r="AE342" s="417"/>
      <c r="AF342" s="417"/>
      <c r="AG342" s="417"/>
      <c r="AH342" s="417"/>
      <c r="AI342" s="417"/>
      <c r="AJ342" s="417"/>
      <c r="AK342" s="436"/>
      <c r="AL342" s="822"/>
    </row>
    <row r="343" spans="1:38" s="33" customFormat="1" hidden="1" outlineLevel="1">
      <c r="A343" s="1150"/>
      <c r="B343" s="821">
        <v>17</v>
      </c>
      <c r="C343" s="371" t="s">
        <v>217</v>
      </c>
      <c r="D343" s="31">
        <f>+VLOOKUP(E343,Codigos!$A$1:$B$1123,2,0)</f>
        <v>17873</v>
      </c>
      <c r="E343" s="1111" t="s">
        <v>1818</v>
      </c>
      <c r="F343" s="1103">
        <v>1</v>
      </c>
      <c r="G343" s="30">
        <v>198</v>
      </c>
      <c r="H343" s="1061">
        <f>CEILING(G343,'Parametros Generales'!$C$8)</f>
        <v>200</v>
      </c>
      <c r="I343" s="1057" t="s">
        <v>243</v>
      </c>
      <c r="J343" s="1058">
        <v>200</v>
      </c>
      <c r="K343" s="1070" t="str">
        <f t="shared" si="25"/>
        <v>Ok</v>
      </c>
      <c r="L343" s="1077">
        <f t="shared" si="26"/>
        <v>0</v>
      </c>
      <c r="M343" s="1090">
        <f>+H343/'Parametros Generales'!$C$8</f>
        <v>8</v>
      </c>
      <c r="N343" s="1097"/>
      <c r="O343" s="1097"/>
      <c r="P343" s="1097"/>
      <c r="Q343" s="1097"/>
      <c r="R343" s="1097">
        <f>+(M343/'Parametros Generales'!$C$9)</f>
        <v>2</v>
      </c>
      <c r="S343" s="390"/>
      <c r="T343" s="390"/>
      <c r="U343" s="390"/>
      <c r="V343" s="389"/>
      <c r="W343" s="32">
        <f>+R343*'Componentes T.H.'!$Q$9*'Parametros Generales'!$C$6</f>
        <v>10037014.142000001</v>
      </c>
      <c r="X343" s="32">
        <f>(+VLOOKUP(C343,'Transporte y Viaticos'!$B$87:$L$120,2,0)*'Parametros Generales'!$C$7*R343)*(2/3)</f>
        <v>682220.0468763297</v>
      </c>
      <c r="Y343" s="417"/>
      <c r="Z343" s="417"/>
      <c r="AA343" s="417"/>
      <c r="AB343" s="417">
        <f>+M343*'Parametros Generales'!$C$6*'Parametros Generales'!$J$9</f>
        <v>3895272.7272727285</v>
      </c>
      <c r="AC343" s="417">
        <f>+H343*'Parametros Generales'!$J$10*'Parametros Generales'!$C$6*'Parametros Generales'!$C$11</f>
        <v>14738498.767401624</v>
      </c>
      <c r="AD343" s="417"/>
      <c r="AE343" s="417"/>
      <c r="AF343" s="417"/>
      <c r="AG343" s="417"/>
      <c r="AH343" s="417"/>
      <c r="AI343" s="417"/>
      <c r="AJ343" s="417"/>
      <c r="AK343" s="436"/>
      <c r="AL343" s="822"/>
    </row>
    <row r="344" spans="1:38" s="33" customFormat="1" hidden="1" outlineLevel="1">
      <c r="A344" s="1150"/>
      <c r="B344" s="823">
        <v>17</v>
      </c>
      <c r="C344" s="373" t="s">
        <v>217</v>
      </c>
      <c r="D344" s="374">
        <f>+VLOOKUP(E344,Codigos!$A$1:$B$1123,2,0)</f>
        <v>17877</v>
      </c>
      <c r="E344" s="1113" t="s">
        <v>1819</v>
      </c>
      <c r="F344" s="1104">
        <v>1</v>
      </c>
      <c r="G344" s="375">
        <v>198</v>
      </c>
      <c r="H344" s="1062">
        <f>CEILING(G344,'Parametros Generales'!$C$8)</f>
        <v>200</v>
      </c>
      <c r="I344" s="1057" t="s">
        <v>244</v>
      </c>
      <c r="J344" s="1058">
        <v>200</v>
      </c>
      <c r="K344" s="1070" t="str">
        <f t="shared" si="25"/>
        <v>Ok</v>
      </c>
      <c r="L344" s="1077">
        <f t="shared" si="26"/>
        <v>0</v>
      </c>
      <c r="M344" s="1091">
        <f>+H344/'Parametros Generales'!$C$8</f>
        <v>8</v>
      </c>
      <c r="N344" s="1098"/>
      <c r="O344" s="1098"/>
      <c r="P344" s="1098"/>
      <c r="Q344" s="1098"/>
      <c r="R344" s="1098">
        <f>+(M344/'Parametros Generales'!$C$9)</f>
        <v>2</v>
      </c>
      <c r="S344" s="395"/>
      <c r="T344" s="395"/>
      <c r="U344" s="395"/>
      <c r="V344" s="396"/>
      <c r="W344" s="376">
        <f>+R344*'Componentes T.H.'!$Q$9*'Parametros Generales'!$C$6</f>
        <v>10037014.142000001</v>
      </c>
      <c r="X344" s="376">
        <f>(+VLOOKUP(C344,'Transporte y Viaticos'!$B$87:$L$120,2,0)*'Parametros Generales'!$C$7*R344)*(2/3)</f>
        <v>682220.0468763297</v>
      </c>
      <c r="Y344" s="417"/>
      <c r="Z344" s="417"/>
      <c r="AA344" s="417"/>
      <c r="AB344" s="417">
        <f>+M344*'Parametros Generales'!$C$6*'Parametros Generales'!$J$9</f>
        <v>3895272.7272727285</v>
      </c>
      <c r="AC344" s="417">
        <f>+H344*'Parametros Generales'!$J$10*'Parametros Generales'!$C$6*'Parametros Generales'!$C$11</f>
        <v>14738498.767401624</v>
      </c>
      <c r="AD344" s="417"/>
      <c r="AE344" s="417"/>
      <c r="AF344" s="417"/>
      <c r="AG344" s="417"/>
      <c r="AH344" s="417"/>
      <c r="AI344" s="417"/>
      <c r="AJ344" s="417"/>
      <c r="AK344" s="436"/>
      <c r="AL344" s="822"/>
    </row>
    <row r="345" spans="1:38" s="33" customFormat="1" hidden="1" outlineLevel="1">
      <c r="A345" s="1150"/>
      <c r="B345" s="823">
        <v>17</v>
      </c>
      <c r="C345" s="373" t="str">
        <f t="shared" ref="C345:C357" si="27">+C344</f>
        <v>CALDAS</v>
      </c>
      <c r="D345" s="374"/>
      <c r="E345" s="1113"/>
      <c r="F345" s="1104"/>
      <c r="G345" s="375"/>
      <c r="H345" s="1062"/>
      <c r="I345" s="1057"/>
      <c r="J345" s="1058"/>
      <c r="K345" s="1070" t="str">
        <f t="shared" si="25"/>
        <v>Ok</v>
      </c>
      <c r="L345" s="1077">
        <f t="shared" si="26"/>
        <v>0</v>
      </c>
      <c r="M345" s="1091">
        <f>+H345/'Parametros Generales'!$C$8</f>
        <v>0</v>
      </c>
      <c r="N345" s="1098"/>
      <c r="O345" s="1098"/>
      <c r="P345" s="1098"/>
      <c r="Q345" s="1098"/>
      <c r="R345" s="1098">
        <f>+(M345/'Parametros Generales'!$C$9)</f>
        <v>0</v>
      </c>
      <c r="S345" s="395"/>
      <c r="T345" s="395"/>
      <c r="U345" s="395"/>
      <c r="V345" s="396"/>
      <c r="W345" s="376">
        <f>+R345*'Componentes T.H.'!$Q$9*'Parametros Generales'!$C$6</f>
        <v>0</v>
      </c>
      <c r="X345" s="376">
        <f>(+VLOOKUP(C345,'Transporte y Viaticos'!$B$87:$L$120,2,0)*'Parametros Generales'!$C$7*R345)*(2/3)</f>
        <v>0</v>
      </c>
      <c r="Y345" s="417"/>
      <c r="Z345" s="417"/>
      <c r="AA345" s="417"/>
      <c r="AB345" s="417">
        <f>+M345*'Parametros Generales'!$C$6*'Parametros Generales'!$J$9</f>
        <v>0</v>
      </c>
      <c r="AC345" s="417">
        <f>+H345*'Parametros Generales'!$J$10*'Parametros Generales'!$C$6*'Parametros Generales'!$C$11</f>
        <v>0</v>
      </c>
      <c r="AD345" s="417"/>
      <c r="AE345" s="417"/>
      <c r="AF345" s="417"/>
      <c r="AG345" s="417"/>
      <c r="AH345" s="417"/>
      <c r="AI345" s="417"/>
      <c r="AJ345" s="417"/>
      <c r="AK345" s="436"/>
      <c r="AL345" s="822"/>
    </row>
    <row r="346" spans="1:38" s="33" customFormat="1" hidden="1" outlineLevel="1">
      <c r="A346" s="1150"/>
      <c r="B346" s="823">
        <v>17</v>
      </c>
      <c r="C346" s="373" t="str">
        <f t="shared" si="27"/>
        <v>CALDAS</v>
      </c>
      <c r="D346" s="374"/>
      <c r="E346" s="1113"/>
      <c r="F346" s="1104"/>
      <c r="G346" s="375"/>
      <c r="H346" s="1062"/>
      <c r="I346" s="1057"/>
      <c r="J346" s="1058"/>
      <c r="K346" s="1070" t="str">
        <f t="shared" si="25"/>
        <v>Ok</v>
      </c>
      <c r="L346" s="1077">
        <f t="shared" si="26"/>
        <v>0</v>
      </c>
      <c r="M346" s="1091">
        <f>+H346/'Parametros Generales'!$C$8</f>
        <v>0</v>
      </c>
      <c r="N346" s="1098"/>
      <c r="O346" s="1098"/>
      <c r="P346" s="1098"/>
      <c r="Q346" s="1098"/>
      <c r="R346" s="1098">
        <f>+(M346/'Parametros Generales'!$C$9)</f>
        <v>0</v>
      </c>
      <c r="S346" s="395"/>
      <c r="T346" s="395"/>
      <c r="U346" s="395"/>
      <c r="V346" s="396"/>
      <c r="W346" s="376">
        <f>+R346*'Componentes T.H.'!$Q$9*'Parametros Generales'!$C$6</f>
        <v>0</v>
      </c>
      <c r="X346" s="376">
        <f>(+VLOOKUP(C346,'Transporte y Viaticos'!$B$87:$L$120,2,0)*'Parametros Generales'!$C$7*R346)*(2/3)</f>
        <v>0</v>
      </c>
      <c r="Y346" s="417"/>
      <c r="Z346" s="417"/>
      <c r="AA346" s="417"/>
      <c r="AB346" s="417">
        <f>+M346*'Parametros Generales'!$C$6*'Parametros Generales'!$J$9</f>
        <v>0</v>
      </c>
      <c r="AC346" s="417">
        <f>+H346*'Parametros Generales'!$J$10*'Parametros Generales'!$C$6*'Parametros Generales'!$C$11</f>
        <v>0</v>
      </c>
      <c r="AD346" s="417"/>
      <c r="AE346" s="417"/>
      <c r="AF346" s="417"/>
      <c r="AG346" s="417"/>
      <c r="AH346" s="417"/>
      <c r="AI346" s="417"/>
      <c r="AJ346" s="417"/>
      <c r="AK346" s="436"/>
      <c r="AL346" s="822"/>
    </row>
    <row r="347" spans="1:38" s="33" customFormat="1" hidden="1" outlineLevel="1">
      <c r="A347" s="1150"/>
      <c r="B347" s="823">
        <v>17</v>
      </c>
      <c r="C347" s="373" t="str">
        <f t="shared" si="27"/>
        <v>CALDAS</v>
      </c>
      <c r="D347" s="374"/>
      <c r="E347" s="1113"/>
      <c r="F347" s="1104"/>
      <c r="G347" s="375"/>
      <c r="H347" s="1062"/>
      <c r="I347" s="1057"/>
      <c r="J347" s="1058"/>
      <c r="K347" s="1070" t="str">
        <f t="shared" si="25"/>
        <v>Ok</v>
      </c>
      <c r="L347" s="1077">
        <f t="shared" si="26"/>
        <v>0</v>
      </c>
      <c r="M347" s="1091">
        <f>+H347/'Parametros Generales'!$C$8</f>
        <v>0</v>
      </c>
      <c r="N347" s="1098"/>
      <c r="O347" s="1098"/>
      <c r="P347" s="1098"/>
      <c r="Q347" s="1098"/>
      <c r="R347" s="1098">
        <f>+(M347/'Parametros Generales'!$C$9)</f>
        <v>0</v>
      </c>
      <c r="S347" s="395"/>
      <c r="T347" s="395"/>
      <c r="U347" s="395"/>
      <c r="V347" s="396"/>
      <c r="W347" s="376">
        <f>+R347*'Componentes T.H.'!$Q$9*'Parametros Generales'!$C$6</f>
        <v>0</v>
      </c>
      <c r="X347" s="376">
        <f>(+VLOOKUP(C347,'Transporte y Viaticos'!$B$87:$L$120,2,0)*'Parametros Generales'!$C$7*R347)*(2/3)</f>
        <v>0</v>
      </c>
      <c r="Y347" s="417"/>
      <c r="Z347" s="417"/>
      <c r="AA347" s="417"/>
      <c r="AB347" s="417">
        <f>+M347*'Parametros Generales'!$C$6*'Parametros Generales'!$J$9</f>
        <v>0</v>
      </c>
      <c r="AC347" s="417">
        <f>+H347*'Parametros Generales'!$J$10*'Parametros Generales'!$C$6*'Parametros Generales'!$C$11</f>
        <v>0</v>
      </c>
      <c r="AD347" s="417"/>
      <c r="AE347" s="417"/>
      <c r="AF347" s="417"/>
      <c r="AG347" s="417"/>
      <c r="AH347" s="417"/>
      <c r="AI347" s="417"/>
      <c r="AJ347" s="417"/>
      <c r="AK347" s="436"/>
      <c r="AL347" s="822"/>
    </row>
    <row r="348" spans="1:38" s="33" customFormat="1" hidden="1" outlineLevel="1">
      <c r="A348" s="1150"/>
      <c r="B348" s="823">
        <v>17</v>
      </c>
      <c r="C348" s="373" t="str">
        <f t="shared" si="27"/>
        <v>CALDAS</v>
      </c>
      <c r="D348" s="374"/>
      <c r="E348" s="1113"/>
      <c r="F348" s="1104"/>
      <c r="G348" s="375"/>
      <c r="H348" s="1062"/>
      <c r="I348" s="1057"/>
      <c r="J348" s="1058"/>
      <c r="K348" s="1070" t="str">
        <f t="shared" si="25"/>
        <v>Ok</v>
      </c>
      <c r="L348" s="1077">
        <f t="shared" si="26"/>
        <v>0</v>
      </c>
      <c r="M348" s="1091">
        <f>+H348/'Parametros Generales'!$C$8</f>
        <v>0</v>
      </c>
      <c r="N348" s="1098"/>
      <c r="O348" s="1098"/>
      <c r="P348" s="1098"/>
      <c r="Q348" s="1098"/>
      <c r="R348" s="1098">
        <f>+(M348/'Parametros Generales'!$C$9)</f>
        <v>0</v>
      </c>
      <c r="S348" s="395"/>
      <c r="T348" s="395"/>
      <c r="U348" s="395"/>
      <c r="V348" s="396"/>
      <c r="W348" s="376">
        <f>+R348*'Componentes T.H.'!$Q$9*'Parametros Generales'!$C$6</f>
        <v>0</v>
      </c>
      <c r="X348" s="376">
        <f>(+VLOOKUP(C348,'Transporte y Viaticos'!$B$87:$L$120,2,0)*'Parametros Generales'!$C$7*R348)*(2/3)</f>
        <v>0</v>
      </c>
      <c r="Y348" s="417"/>
      <c r="Z348" s="417"/>
      <c r="AA348" s="417"/>
      <c r="AB348" s="417">
        <f>+M348*'Parametros Generales'!$C$6*'Parametros Generales'!$J$9</f>
        <v>0</v>
      </c>
      <c r="AC348" s="417">
        <f>+H348*'Parametros Generales'!$J$10*'Parametros Generales'!$C$6*'Parametros Generales'!$C$11</f>
        <v>0</v>
      </c>
      <c r="AD348" s="417"/>
      <c r="AE348" s="417"/>
      <c r="AF348" s="417"/>
      <c r="AG348" s="417"/>
      <c r="AH348" s="417"/>
      <c r="AI348" s="417"/>
      <c r="AJ348" s="417"/>
      <c r="AK348" s="436"/>
      <c r="AL348" s="822"/>
    </row>
    <row r="349" spans="1:38" s="33" customFormat="1" hidden="1" outlineLevel="1">
      <c r="A349" s="1150"/>
      <c r="B349" s="823">
        <v>17</v>
      </c>
      <c r="C349" s="373" t="str">
        <f t="shared" si="27"/>
        <v>CALDAS</v>
      </c>
      <c r="D349" s="374"/>
      <c r="E349" s="1113"/>
      <c r="F349" s="1104"/>
      <c r="G349" s="375"/>
      <c r="H349" s="1062"/>
      <c r="I349" s="1057"/>
      <c r="J349" s="1058"/>
      <c r="K349" s="1070" t="str">
        <f t="shared" si="25"/>
        <v>Ok</v>
      </c>
      <c r="L349" s="1077">
        <f t="shared" si="26"/>
        <v>0</v>
      </c>
      <c r="M349" s="1091">
        <f>+H349/'Parametros Generales'!$C$8</f>
        <v>0</v>
      </c>
      <c r="N349" s="1098"/>
      <c r="O349" s="1098"/>
      <c r="P349" s="1098"/>
      <c r="Q349" s="1098"/>
      <c r="R349" s="1098">
        <f>+(M349/'Parametros Generales'!$C$9)</f>
        <v>0</v>
      </c>
      <c r="S349" s="395"/>
      <c r="T349" s="395"/>
      <c r="U349" s="395"/>
      <c r="V349" s="396"/>
      <c r="W349" s="376">
        <f>+R349*'Componentes T.H.'!$Q$9*'Parametros Generales'!$C$6</f>
        <v>0</v>
      </c>
      <c r="X349" s="376">
        <f>(+VLOOKUP(C349,'Transporte y Viaticos'!$B$87:$L$120,2,0)*'Parametros Generales'!$C$7*R349)*(2/3)</f>
        <v>0</v>
      </c>
      <c r="Y349" s="417"/>
      <c r="Z349" s="417"/>
      <c r="AA349" s="417"/>
      <c r="AB349" s="417">
        <f>+M349*'Parametros Generales'!$C$6*'Parametros Generales'!$J$9</f>
        <v>0</v>
      </c>
      <c r="AC349" s="417">
        <f>+H349*'Parametros Generales'!$J$10*'Parametros Generales'!$C$6*'Parametros Generales'!$C$11</f>
        <v>0</v>
      </c>
      <c r="AD349" s="417"/>
      <c r="AE349" s="417"/>
      <c r="AF349" s="417"/>
      <c r="AG349" s="417"/>
      <c r="AH349" s="417"/>
      <c r="AI349" s="417"/>
      <c r="AJ349" s="417"/>
      <c r="AK349" s="436"/>
      <c r="AL349" s="822"/>
    </row>
    <row r="350" spans="1:38" s="33" customFormat="1" hidden="1" outlineLevel="1">
      <c r="A350" s="1150"/>
      <c r="B350" s="823">
        <v>17</v>
      </c>
      <c r="C350" s="373" t="str">
        <f t="shared" si="27"/>
        <v>CALDAS</v>
      </c>
      <c r="D350" s="374"/>
      <c r="E350" s="1113"/>
      <c r="F350" s="1104"/>
      <c r="G350" s="375"/>
      <c r="H350" s="1062"/>
      <c r="I350" s="1057"/>
      <c r="J350" s="1058"/>
      <c r="K350" s="1070" t="str">
        <f t="shared" si="25"/>
        <v>Ok</v>
      </c>
      <c r="L350" s="1077">
        <f t="shared" si="26"/>
        <v>0</v>
      </c>
      <c r="M350" s="1091">
        <f>+H350/'Parametros Generales'!$C$8</f>
        <v>0</v>
      </c>
      <c r="N350" s="1098"/>
      <c r="O350" s="1098"/>
      <c r="P350" s="1098"/>
      <c r="Q350" s="1098"/>
      <c r="R350" s="1098">
        <f>+(M350/'Parametros Generales'!$C$9)</f>
        <v>0</v>
      </c>
      <c r="S350" s="395"/>
      <c r="T350" s="395"/>
      <c r="U350" s="395"/>
      <c r="V350" s="396"/>
      <c r="W350" s="376">
        <f>+R350*'Componentes T.H.'!$Q$9*'Parametros Generales'!$C$6</f>
        <v>0</v>
      </c>
      <c r="X350" s="376">
        <f>(+VLOOKUP(C350,'Transporte y Viaticos'!$B$87:$L$120,2,0)*'Parametros Generales'!$C$7*R350)*(2/3)</f>
        <v>0</v>
      </c>
      <c r="Y350" s="417"/>
      <c r="Z350" s="417"/>
      <c r="AA350" s="417"/>
      <c r="AB350" s="417">
        <f>+M350*'Parametros Generales'!$C$6*'Parametros Generales'!$J$9</f>
        <v>0</v>
      </c>
      <c r="AC350" s="417">
        <f>+H350*'Parametros Generales'!$J$10*'Parametros Generales'!$C$6*'Parametros Generales'!$C$11</f>
        <v>0</v>
      </c>
      <c r="AD350" s="417"/>
      <c r="AE350" s="417"/>
      <c r="AF350" s="417"/>
      <c r="AG350" s="417"/>
      <c r="AH350" s="417"/>
      <c r="AI350" s="417"/>
      <c r="AJ350" s="417"/>
      <c r="AK350" s="436"/>
      <c r="AL350" s="822"/>
    </row>
    <row r="351" spans="1:38" s="33" customFormat="1" hidden="1" outlineLevel="1">
      <c r="A351" s="1150"/>
      <c r="B351" s="823">
        <v>17</v>
      </c>
      <c r="C351" s="373" t="str">
        <f t="shared" si="27"/>
        <v>CALDAS</v>
      </c>
      <c r="D351" s="374"/>
      <c r="E351" s="1113"/>
      <c r="F351" s="1104"/>
      <c r="G351" s="375"/>
      <c r="H351" s="1062"/>
      <c r="I351" s="1057"/>
      <c r="J351" s="1058"/>
      <c r="K351" s="1070" t="str">
        <f t="shared" si="25"/>
        <v>Ok</v>
      </c>
      <c r="L351" s="1077">
        <f t="shared" si="26"/>
        <v>0</v>
      </c>
      <c r="M351" s="1091">
        <f>+H351/'Parametros Generales'!$C$8</f>
        <v>0</v>
      </c>
      <c r="N351" s="1098"/>
      <c r="O351" s="1098"/>
      <c r="P351" s="1098"/>
      <c r="Q351" s="1098"/>
      <c r="R351" s="1098">
        <f>+(M351/'Parametros Generales'!$C$9)</f>
        <v>0</v>
      </c>
      <c r="S351" s="395"/>
      <c r="T351" s="395"/>
      <c r="U351" s="395"/>
      <c r="V351" s="396"/>
      <c r="W351" s="376">
        <f>+R351*'Componentes T.H.'!$Q$9*'Parametros Generales'!$C$6</f>
        <v>0</v>
      </c>
      <c r="X351" s="376">
        <f>(+VLOOKUP(C351,'Transporte y Viaticos'!$B$87:$L$120,2,0)*'Parametros Generales'!$C$7*R351)*(2/3)</f>
        <v>0</v>
      </c>
      <c r="Y351" s="417"/>
      <c r="Z351" s="417"/>
      <c r="AA351" s="417"/>
      <c r="AB351" s="417">
        <f>+M351*'Parametros Generales'!$C$6*'Parametros Generales'!$J$9</f>
        <v>0</v>
      </c>
      <c r="AC351" s="417">
        <f>+H351*'Parametros Generales'!$J$10*'Parametros Generales'!$C$6*'Parametros Generales'!$C$11</f>
        <v>0</v>
      </c>
      <c r="AD351" s="417"/>
      <c r="AE351" s="417"/>
      <c r="AF351" s="417"/>
      <c r="AG351" s="417"/>
      <c r="AH351" s="417"/>
      <c r="AI351" s="417"/>
      <c r="AJ351" s="417"/>
      <c r="AK351" s="436"/>
      <c r="AL351" s="822"/>
    </row>
    <row r="352" spans="1:38" s="33" customFormat="1" hidden="1" outlineLevel="1">
      <c r="A352" s="1150"/>
      <c r="B352" s="823">
        <v>17</v>
      </c>
      <c r="C352" s="373" t="str">
        <f t="shared" si="27"/>
        <v>CALDAS</v>
      </c>
      <c r="D352" s="374"/>
      <c r="E352" s="1113"/>
      <c r="F352" s="1104"/>
      <c r="G352" s="375"/>
      <c r="H352" s="1062"/>
      <c r="I352" s="1057"/>
      <c r="J352" s="1058"/>
      <c r="K352" s="1070" t="str">
        <f t="shared" si="25"/>
        <v>Ok</v>
      </c>
      <c r="L352" s="1077">
        <f t="shared" si="26"/>
        <v>0</v>
      </c>
      <c r="M352" s="1091">
        <f>+H352/'Parametros Generales'!$C$8</f>
        <v>0</v>
      </c>
      <c r="N352" s="1098"/>
      <c r="O352" s="1098"/>
      <c r="P352" s="1098"/>
      <c r="Q352" s="1098"/>
      <c r="R352" s="1098">
        <f>+(M352/'Parametros Generales'!$C$9)</f>
        <v>0</v>
      </c>
      <c r="S352" s="395"/>
      <c r="T352" s="395"/>
      <c r="U352" s="395"/>
      <c r="V352" s="396"/>
      <c r="W352" s="376">
        <f>+R352*'Componentes T.H.'!$Q$9*'Parametros Generales'!$C$6</f>
        <v>0</v>
      </c>
      <c r="X352" s="376">
        <f>(+VLOOKUP(C352,'Transporte y Viaticos'!$B$87:$L$120,2,0)*'Parametros Generales'!$C$7*R352)*(2/3)</f>
        <v>0</v>
      </c>
      <c r="Y352" s="417"/>
      <c r="Z352" s="417"/>
      <c r="AA352" s="417"/>
      <c r="AB352" s="417">
        <f>+M352*'Parametros Generales'!$C$6*'Parametros Generales'!$J$9</f>
        <v>0</v>
      </c>
      <c r="AC352" s="417">
        <f>+H352*'Parametros Generales'!$J$10*'Parametros Generales'!$C$6*'Parametros Generales'!$C$11</f>
        <v>0</v>
      </c>
      <c r="AD352" s="417"/>
      <c r="AE352" s="417"/>
      <c r="AF352" s="417"/>
      <c r="AG352" s="417"/>
      <c r="AH352" s="417"/>
      <c r="AI352" s="417"/>
      <c r="AJ352" s="417"/>
      <c r="AK352" s="436"/>
      <c r="AL352" s="822"/>
    </row>
    <row r="353" spans="1:38" s="33" customFormat="1" hidden="1" outlineLevel="1">
      <c r="A353" s="1150"/>
      <c r="B353" s="823">
        <v>17</v>
      </c>
      <c r="C353" s="373" t="str">
        <f t="shared" si="27"/>
        <v>CALDAS</v>
      </c>
      <c r="D353" s="374"/>
      <c r="E353" s="1113"/>
      <c r="F353" s="1104"/>
      <c r="G353" s="375"/>
      <c r="H353" s="1062"/>
      <c r="I353" s="1057"/>
      <c r="J353" s="1058"/>
      <c r="K353" s="1070" t="str">
        <f t="shared" si="25"/>
        <v>Ok</v>
      </c>
      <c r="L353" s="1077">
        <f t="shared" si="26"/>
        <v>0</v>
      </c>
      <c r="M353" s="1091">
        <f>+H353/'Parametros Generales'!$C$8</f>
        <v>0</v>
      </c>
      <c r="N353" s="1098"/>
      <c r="O353" s="1098"/>
      <c r="P353" s="1098"/>
      <c r="Q353" s="1098"/>
      <c r="R353" s="1098">
        <f>+(M353/'Parametros Generales'!$C$9)</f>
        <v>0</v>
      </c>
      <c r="S353" s="395"/>
      <c r="T353" s="395"/>
      <c r="U353" s="395"/>
      <c r="V353" s="396"/>
      <c r="W353" s="376">
        <f>+R353*'Componentes T.H.'!$Q$9*'Parametros Generales'!$C$6</f>
        <v>0</v>
      </c>
      <c r="X353" s="376">
        <f>(+VLOOKUP(C353,'Transporte y Viaticos'!$B$87:$L$120,2,0)*'Parametros Generales'!$C$7*R353)*(2/3)</f>
        <v>0</v>
      </c>
      <c r="Y353" s="417"/>
      <c r="Z353" s="417"/>
      <c r="AA353" s="417"/>
      <c r="AB353" s="417">
        <f>+M353*'Parametros Generales'!$C$6*'Parametros Generales'!$J$9</f>
        <v>0</v>
      </c>
      <c r="AC353" s="417">
        <f>+H353*'Parametros Generales'!$J$10*'Parametros Generales'!$C$6*'Parametros Generales'!$C$11</f>
        <v>0</v>
      </c>
      <c r="AD353" s="417"/>
      <c r="AE353" s="417"/>
      <c r="AF353" s="417"/>
      <c r="AG353" s="417"/>
      <c r="AH353" s="417"/>
      <c r="AI353" s="417"/>
      <c r="AJ353" s="417"/>
      <c r="AK353" s="436"/>
      <c r="AL353" s="822"/>
    </row>
    <row r="354" spans="1:38" s="33" customFormat="1" hidden="1" outlineLevel="1">
      <c r="A354" s="1150"/>
      <c r="B354" s="823">
        <v>17</v>
      </c>
      <c r="C354" s="373" t="str">
        <f t="shared" si="27"/>
        <v>CALDAS</v>
      </c>
      <c r="D354" s="374"/>
      <c r="E354" s="1113"/>
      <c r="F354" s="1104"/>
      <c r="G354" s="375"/>
      <c r="H354" s="1062"/>
      <c r="I354" s="1057"/>
      <c r="J354" s="1058"/>
      <c r="K354" s="1070" t="str">
        <f t="shared" si="25"/>
        <v>Ok</v>
      </c>
      <c r="L354" s="1077">
        <f t="shared" si="26"/>
        <v>0</v>
      </c>
      <c r="M354" s="1091">
        <f>+H354/'Parametros Generales'!$C$8</f>
        <v>0</v>
      </c>
      <c r="N354" s="1098"/>
      <c r="O354" s="1098"/>
      <c r="P354" s="1098"/>
      <c r="Q354" s="1098"/>
      <c r="R354" s="1098">
        <f>+(M354/'Parametros Generales'!$C$9)</f>
        <v>0</v>
      </c>
      <c r="S354" s="395"/>
      <c r="T354" s="395"/>
      <c r="U354" s="395"/>
      <c r="V354" s="396"/>
      <c r="W354" s="376">
        <f>+R354*'Componentes T.H.'!$Q$9*'Parametros Generales'!$C$6</f>
        <v>0</v>
      </c>
      <c r="X354" s="376">
        <f>(+VLOOKUP(C354,'Transporte y Viaticos'!$B$87:$L$120,2,0)*'Parametros Generales'!$C$7*R354)*(2/3)</f>
        <v>0</v>
      </c>
      <c r="Y354" s="417"/>
      <c r="Z354" s="417"/>
      <c r="AA354" s="417"/>
      <c r="AB354" s="417">
        <f>+M354*'Parametros Generales'!$C$6*'Parametros Generales'!$J$9</f>
        <v>0</v>
      </c>
      <c r="AC354" s="417">
        <f>+H354*'Parametros Generales'!$J$10*'Parametros Generales'!$C$6*'Parametros Generales'!$C$11</f>
        <v>0</v>
      </c>
      <c r="AD354" s="417"/>
      <c r="AE354" s="417"/>
      <c r="AF354" s="417"/>
      <c r="AG354" s="417"/>
      <c r="AH354" s="417"/>
      <c r="AI354" s="417"/>
      <c r="AJ354" s="417"/>
      <c r="AK354" s="436"/>
      <c r="AL354" s="822"/>
    </row>
    <row r="355" spans="1:38" s="33" customFormat="1" hidden="1" outlineLevel="1">
      <c r="A355" s="1150"/>
      <c r="B355" s="823">
        <v>17</v>
      </c>
      <c r="C355" s="373" t="str">
        <f t="shared" si="27"/>
        <v>CALDAS</v>
      </c>
      <c r="D355" s="374"/>
      <c r="E355" s="1113"/>
      <c r="F355" s="1104"/>
      <c r="G355" s="375"/>
      <c r="H355" s="1062"/>
      <c r="I355" s="1057"/>
      <c r="J355" s="1058"/>
      <c r="K355" s="1070" t="str">
        <f t="shared" si="25"/>
        <v>Ok</v>
      </c>
      <c r="L355" s="1077">
        <f t="shared" si="26"/>
        <v>0</v>
      </c>
      <c r="M355" s="1091">
        <f>+H355/'Parametros Generales'!$C$8</f>
        <v>0</v>
      </c>
      <c r="N355" s="1098"/>
      <c r="O355" s="1098"/>
      <c r="P355" s="1098"/>
      <c r="Q355" s="1098"/>
      <c r="R355" s="1098">
        <f>+(M355/'Parametros Generales'!$C$9)</f>
        <v>0</v>
      </c>
      <c r="S355" s="395"/>
      <c r="T355" s="395"/>
      <c r="U355" s="395"/>
      <c r="V355" s="396"/>
      <c r="W355" s="376">
        <f>+R355*'Componentes T.H.'!$Q$9*'Parametros Generales'!$C$6</f>
        <v>0</v>
      </c>
      <c r="X355" s="376">
        <f>(+VLOOKUP(C355,'Transporte y Viaticos'!$B$87:$L$120,2,0)*'Parametros Generales'!$C$7*R355)*(2/3)</f>
        <v>0</v>
      </c>
      <c r="Y355" s="417"/>
      <c r="Z355" s="417"/>
      <c r="AA355" s="417"/>
      <c r="AB355" s="417">
        <f>+M355*'Parametros Generales'!$C$6*'Parametros Generales'!$J$9</f>
        <v>0</v>
      </c>
      <c r="AC355" s="417">
        <f>+H355*'Parametros Generales'!$J$10*'Parametros Generales'!$C$6*'Parametros Generales'!$C$11</f>
        <v>0</v>
      </c>
      <c r="AD355" s="417"/>
      <c r="AE355" s="417"/>
      <c r="AF355" s="417"/>
      <c r="AG355" s="417"/>
      <c r="AH355" s="417"/>
      <c r="AI355" s="417"/>
      <c r="AJ355" s="417"/>
      <c r="AK355" s="436"/>
      <c r="AL355" s="822"/>
    </row>
    <row r="356" spans="1:38" s="33" customFormat="1" hidden="1" outlineLevel="1">
      <c r="A356" s="1150"/>
      <c r="B356" s="823">
        <v>17</v>
      </c>
      <c r="C356" s="373" t="str">
        <f t="shared" si="27"/>
        <v>CALDAS</v>
      </c>
      <c r="D356" s="374"/>
      <c r="E356" s="1113"/>
      <c r="F356" s="1104"/>
      <c r="G356" s="375"/>
      <c r="H356" s="1062"/>
      <c r="I356" s="1057"/>
      <c r="J356" s="1058"/>
      <c r="K356" s="1070" t="str">
        <f t="shared" si="25"/>
        <v>Ok</v>
      </c>
      <c r="L356" s="1077">
        <f t="shared" si="26"/>
        <v>0</v>
      </c>
      <c r="M356" s="1091">
        <f>+H356/'Parametros Generales'!$C$8</f>
        <v>0</v>
      </c>
      <c r="N356" s="1098"/>
      <c r="O356" s="1098"/>
      <c r="P356" s="1098"/>
      <c r="Q356" s="1098"/>
      <c r="R356" s="1098">
        <f>+(M356/'Parametros Generales'!$C$9)</f>
        <v>0</v>
      </c>
      <c r="S356" s="395"/>
      <c r="T356" s="395"/>
      <c r="U356" s="395"/>
      <c r="V356" s="396"/>
      <c r="W356" s="376">
        <f>+R356*'Componentes T.H.'!$Q$9*'Parametros Generales'!$C$6</f>
        <v>0</v>
      </c>
      <c r="X356" s="376">
        <f>(+VLOOKUP(C356,'Transporte y Viaticos'!$B$87:$L$120,2,0)*'Parametros Generales'!$C$7*R356)*(2/3)</f>
        <v>0</v>
      </c>
      <c r="Y356" s="417"/>
      <c r="Z356" s="417"/>
      <c r="AA356" s="417"/>
      <c r="AB356" s="417">
        <f>+M356*'Parametros Generales'!$C$6*'Parametros Generales'!$J$9</f>
        <v>0</v>
      </c>
      <c r="AC356" s="417">
        <f>+H356*'Parametros Generales'!$J$10*'Parametros Generales'!$C$6*'Parametros Generales'!$C$11</f>
        <v>0</v>
      </c>
      <c r="AD356" s="417"/>
      <c r="AE356" s="417"/>
      <c r="AF356" s="417"/>
      <c r="AG356" s="417"/>
      <c r="AH356" s="417"/>
      <c r="AI356" s="417"/>
      <c r="AJ356" s="417"/>
      <c r="AK356" s="436"/>
      <c r="AL356" s="822"/>
    </row>
    <row r="357" spans="1:38" s="33" customFormat="1" hidden="1" outlineLevel="1">
      <c r="A357" s="1150"/>
      <c r="B357" s="823">
        <v>17</v>
      </c>
      <c r="C357" s="373" t="str">
        <f t="shared" si="27"/>
        <v>CALDAS</v>
      </c>
      <c r="D357" s="374"/>
      <c r="E357" s="1113"/>
      <c r="F357" s="1104"/>
      <c r="G357" s="375"/>
      <c r="H357" s="1062"/>
      <c r="I357" s="1057"/>
      <c r="J357" s="1058"/>
      <c r="K357" s="1070" t="str">
        <f t="shared" si="25"/>
        <v>Ok</v>
      </c>
      <c r="L357" s="1077">
        <f t="shared" si="26"/>
        <v>0</v>
      </c>
      <c r="M357" s="1091">
        <f>+H357/'Parametros Generales'!$C$8</f>
        <v>0</v>
      </c>
      <c r="N357" s="1098"/>
      <c r="O357" s="1098"/>
      <c r="P357" s="1098"/>
      <c r="Q357" s="1098"/>
      <c r="R357" s="1098">
        <f>+(M357/'Parametros Generales'!$C$9)</f>
        <v>0</v>
      </c>
      <c r="S357" s="395"/>
      <c r="T357" s="395"/>
      <c r="U357" s="395"/>
      <c r="V357" s="396"/>
      <c r="W357" s="376">
        <f>+R357*'Componentes T.H.'!$Q$9*'Parametros Generales'!$C$6</f>
        <v>0</v>
      </c>
      <c r="X357" s="376">
        <f>(+VLOOKUP(C357,'Transporte y Viaticos'!$B$87:$L$120,2,0)*'Parametros Generales'!$C$7*R357)*(2/3)</f>
        <v>0</v>
      </c>
      <c r="Y357" s="417"/>
      <c r="Z357" s="417"/>
      <c r="AA357" s="417"/>
      <c r="AB357" s="417">
        <f>+M357*'Parametros Generales'!$C$6*'Parametros Generales'!$J$9</f>
        <v>0</v>
      </c>
      <c r="AC357" s="417">
        <f>+H357*'Parametros Generales'!$J$10*'Parametros Generales'!$C$6*'Parametros Generales'!$C$11</f>
        <v>0</v>
      </c>
      <c r="AD357" s="417"/>
      <c r="AE357" s="417"/>
      <c r="AF357" s="417"/>
      <c r="AG357" s="417"/>
      <c r="AH357" s="417"/>
      <c r="AI357" s="417"/>
      <c r="AJ357" s="417"/>
      <c r="AK357" s="436"/>
      <c r="AL357" s="822"/>
    </row>
    <row r="358" spans="1:38" s="392" customFormat="1" collapsed="1">
      <c r="A358" s="1151">
        <v>7</v>
      </c>
      <c r="B358" s="824">
        <v>18</v>
      </c>
      <c r="C358" s="385" t="s">
        <v>2320</v>
      </c>
      <c r="D358" s="386"/>
      <c r="E358" s="1114" t="s">
        <v>245</v>
      </c>
      <c r="F358" s="1105">
        <f>SUM(F359:F371)</f>
        <v>13</v>
      </c>
      <c r="G358" s="388">
        <f>+SUM(G359:G371)</f>
        <v>3234</v>
      </c>
      <c r="H358" s="512">
        <f>+SUM(H359:H378)</f>
        <v>3800</v>
      </c>
      <c r="I358" s="1057" t="s">
        <v>245</v>
      </c>
      <c r="J358" s="1067">
        <v>3800</v>
      </c>
      <c r="K358" s="1069" t="str">
        <f t="shared" si="25"/>
        <v>Ok</v>
      </c>
      <c r="L358" s="1077">
        <f t="shared" si="26"/>
        <v>0</v>
      </c>
      <c r="M358" s="512">
        <f>+SUM(M359:M378)</f>
        <v>152</v>
      </c>
      <c r="N358" s="1073">
        <f>+VLOOKUP(H358,'Parametros Generales'!$B$14:$D$17,3,TRUE)</f>
        <v>0.6</v>
      </c>
      <c r="O358" s="1073">
        <f>+VLOOKUP(H358,'Parametros Generales'!$B$14:$D$17,3,TRUE)</f>
        <v>0.6</v>
      </c>
      <c r="P358" s="1073">
        <f>+VLOOKUP(H358,'Parametros Generales'!$B$14:$D$17,3,TRUE)</f>
        <v>0.6</v>
      </c>
      <c r="Q358" s="1073">
        <f>+R358/'Parametros Generales'!$C$10</f>
        <v>4.75</v>
      </c>
      <c r="R358" s="512">
        <f>+SUM(R359:R378)</f>
        <v>38</v>
      </c>
      <c r="S358" s="390">
        <f>+VLOOKUP(S$1,'Componentes T.H.'!$B$4:$R$22,'Componentes T.H.'!$Q$1,0)*'Parametros Generales'!$C$6*'Cost x Depart'!N358</f>
        <v>8794058.4826000016</v>
      </c>
      <c r="T358" s="390">
        <f>+VLOOKUP(T$1,'Componentes T.H.'!$B$4:$R$22,'Componentes T.H.'!$Q$1,0)*'Parametros Generales'!$C$6*'Cost x Depart'!O358</f>
        <v>6626289.3953999998</v>
      </c>
      <c r="U358" s="390">
        <f>+VLOOKUP(U$1,'Componentes T.H.'!$B$4:$R$22,'Componentes T.H.'!$Q$1,0)*'Parametros Generales'!$C$6*'Cost x Depart'!P358</f>
        <v>2934259.1999999997</v>
      </c>
      <c r="V358" s="389">
        <f>+VLOOKUP(V$1,'Componentes T.H.'!$B$4:$R$22,'Componentes T.H.'!$Q$1,0)*'Parametros Generales'!$C$6*'Cost x Depart'!Q358</f>
        <v>47457475.78808333</v>
      </c>
      <c r="W358" s="512">
        <f>+SUM(W359:W378)</f>
        <v>190703268.69800001</v>
      </c>
      <c r="X358" s="512">
        <f>+SUM(X359:X378)</f>
        <v>22683085.883277725</v>
      </c>
      <c r="Y358" s="391">
        <f>+VLOOKUP(C359,'Transporte y Viaticos'!$B$87:$F$120,2,0)*((O358/'Parametros Generales'!$J$14)+(Q358/'Parametros Generales'!$J$15)+(R358/'Parametros Generales'!$J$16))*'Parametros Generales'!$C$6</f>
        <v>1090131.1998509462</v>
      </c>
      <c r="Z358" s="391">
        <f>+(N358+O358+Q358)*'Parametros Generales'!$C$6*'Parametros Generales'!$J$7</f>
        <v>1169889</v>
      </c>
      <c r="AA358" s="391">
        <f>+SUM(N358:R358)*'Parametros Generales'!$C$6*'Parametros Generales'!$J$8</f>
        <v>7996725</v>
      </c>
      <c r="AB358" s="512">
        <f>+SUM(AB359:AB378)</f>
        <v>74010181.818181843</v>
      </c>
      <c r="AC358" s="512">
        <f>+SUM(AC359:AC378)</f>
        <v>280031476.58063096</v>
      </c>
      <c r="AD358" s="391">
        <f>+'Parametros Generales'!$J$11*SUM(N358:R358)</f>
        <v>1498662</v>
      </c>
      <c r="AE358" s="436">
        <f>+SUM(S358:AD358)</f>
        <v>644995503.0460248</v>
      </c>
      <c r="AF358" s="391">
        <f>+AE358*(SUM('Res de Costos Pais'!G117:G117))</f>
        <v>44182191.958652705</v>
      </c>
      <c r="AG358" s="391">
        <f>+AE358+AF358</f>
        <v>689177695.00467753</v>
      </c>
      <c r="AH358" s="391">
        <f>+AG358*SUM('Res de Costos Pais'!$G$123:$G$124)</f>
        <v>6657456.5337451855</v>
      </c>
      <c r="AI358" s="391">
        <f>+(AG358+AH358)*'Res de Costos Pais'!$G$136</f>
        <v>1878754.9091537413</v>
      </c>
      <c r="AJ358" s="391">
        <f>+(AG358+AH358+AI358)*'Res de Costos Pais'!$G$140</f>
        <v>2790855.6257903059</v>
      </c>
      <c r="AK358" s="391">
        <f>+AG358+AH358+AI358+AJ358</f>
        <v>700504762.07336676</v>
      </c>
      <c r="AL358" s="820">
        <f>IF(ISERROR((+(AK358/H358)/'Parametros Generales'!$C$6)),0,(+(AK358/H358)/'Parametros Generales'!$C$6))</f>
        <v>36868.671688071932</v>
      </c>
    </row>
    <row r="359" spans="1:38" s="33" customFormat="1" hidden="1" outlineLevel="1">
      <c r="A359" s="1150"/>
      <c r="B359" s="819">
        <v>18</v>
      </c>
      <c r="C359" s="377" t="s">
        <v>2320</v>
      </c>
      <c r="D359" s="378">
        <f>+VLOOKUP(E359,Codigos!$A$1:$B$1123,2,0)</f>
        <v>18001</v>
      </c>
      <c r="E359" s="1110" t="s">
        <v>1820</v>
      </c>
      <c r="F359" s="1102">
        <v>1</v>
      </c>
      <c r="G359" s="379">
        <f>792+198</f>
        <v>990</v>
      </c>
      <c r="H359" s="1060">
        <f>CEILING(G359,'Parametros Generales'!$C$8)</f>
        <v>1000</v>
      </c>
      <c r="I359" s="1057" t="s">
        <v>246</v>
      </c>
      <c r="J359" s="1084">
        <v>1000</v>
      </c>
      <c r="K359" s="1072" t="str">
        <f t="shared" si="25"/>
        <v>Ok</v>
      </c>
      <c r="L359" s="1077">
        <f t="shared" si="26"/>
        <v>0</v>
      </c>
      <c r="M359" s="1089">
        <f>+H359/'Parametros Generales'!$C$8</f>
        <v>40</v>
      </c>
      <c r="N359" s="1096"/>
      <c r="O359" s="1096"/>
      <c r="P359" s="1096"/>
      <c r="Q359" s="1096"/>
      <c r="R359" s="1096">
        <f>+(M359/'Parametros Generales'!$C$9)</f>
        <v>10</v>
      </c>
      <c r="S359" s="393"/>
      <c r="T359" s="393"/>
      <c r="U359" s="393"/>
      <c r="V359" s="394"/>
      <c r="W359" s="380">
        <f>+R359*'Componentes T.H.'!$Q$9*'Parametros Generales'!$C$6</f>
        <v>50185070.710000008</v>
      </c>
      <c r="X359" s="380">
        <f>(+VLOOKUP(C359,'Transporte y Viaticos'!$B$87:$L$120,2,0)*'Parametros Generales'!$C$7*R359)*(2/3)</f>
        <v>5969233.1271783495</v>
      </c>
      <c r="Y359" s="417"/>
      <c r="Z359" s="417"/>
      <c r="AA359" s="417"/>
      <c r="AB359" s="417">
        <f>+M359*'Parametros Generales'!$C$6*'Parametros Generales'!$J$9</f>
        <v>19476363.63636364</v>
      </c>
      <c r="AC359" s="417">
        <f>+H359*'Parametros Generales'!$J$10*'Parametros Generales'!$C$6*'Parametros Generales'!$C$11</f>
        <v>73692493.837008134</v>
      </c>
      <c r="AD359" s="417"/>
      <c r="AE359" s="417"/>
      <c r="AF359" s="417"/>
      <c r="AG359" s="417"/>
      <c r="AH359" s="417"/>
      <c r="AI359" s="417"/>
      <c r="AJ359" s="417"/>
      <c r="AK359" s="436"/>
      <c r="AL359" s="822"/>
    </row>
    <row r="360" spans="1:38" s="33" customFormat="1" hidden="1" outlineLevel="1">
      <c r="A360" s="1150"/>
      <c r="B360" s="821">
        <v>18</v>
      </c>
      <c r="C360" s="371" t="s">
        <v>2320</v>
      </c>
      <c r="D360" s="31">
        <f>+VLOOKUP(E360,Codigos!$A$1:$B$1123,2,0)</f>
        <v>18094</v>
      </c>
      <c r="E360" s="1111" t="s">
        <v>1821</v>
      </c>
      <c r="F360" s="1103">
        <v>1</v>
      </c>
      <c r="G360" s="30">
        <v>198</v>
      </c>
      <c r="H360" s="1061">
        <f>CEILING(G360,'Parametros Generales'!$C$8)</f>
        <v>200</v>
      </c>
      <c r="I360" s="1057" t="s">
        <v>247</v>
      </c>
      <c r="J360" s="1058">
        <v>200</v>
      </c>
      <c r="K360" s="1070" t="str">
        <f t="shared" si="25"/>
        <v>Ok</v>
      </c>
      <c r="L360" s="1077">
        <f t="shared" si="26"/>
        <v>0</v>
      </c>
      <c r="M360" s="1090">
        <f>+H360/'Parametros Generales'!$C$8</f>
        <v>8</v>
      </c>
      <c r="N360" s="1097"/>
      <c r="O360" s="1097"/>
      <c r="P360" s="1097"/>
      <c r="Q360" s="1097"/>
      <c r="R360" s="1097">
        <f>+(M360/'Parametros Generales'!$C$9)</f>
        <v>2</v>
      </c>
      <c r="S360" s="390"/>
      <c r="T360" s="390"/>
      <c r="U360" s="390"/>
      <c r="V360" s="389"/>
      <c r="W360" s="32">
        <f>+R360*'Componentes T.H.'!$Q$9*'Parametros Generales'!$C$6</f>
        <v>10037014.142000001</v>
      </c>
      <c r="X360" s="32">
        <f>(+VLOOKUP(C360,'Transporte y Viaticos'!$B$87:$L$120,2,0)*'Parametros Generales'!$C$7*R360)*(2/3)</f>
        <v>1193846.6254356699</v>
      </c>
      <c r="Y360" s="417"/>
      <c r="Z360" s="417"/>
      <c r="AA360" s="417"/>
      <c r="AB360" s="417">
        <f>+M360*'Parametros Generales'!$C$6*'Parametros Generales'!$J$9</f>
        <v>3895272.7272727285</v>
      </c>
      <c r="AC360" s="417">
        <f>+H360*'Parametros Generales'!$J$10*'Parametros Generales'!$C$6*'Parametros Generales'!$C$11</f>
        <v>14738498.767401624</v>
      </c>
      <c r="AD360" s="417"/>
      <c r="AE360" s="417"/>
      <c r="AF360" s="417"/>
      <c r="AG360" s="417"/>
      <c r="AH360" s="417"/>
      <c r="AI360" s="417"/>
      <c r="AJ360" s="417"/>
      <c r="AK360" s="436"/>
      <c r="AL360" s="822"/>
    </row>
    <row r="361" spans="1:38" s="33" customFormat="1" hidden="1" outlineLevel="1">
      <c r="A361" s="1150"/>
      <c r="B361" s="821">
        <v>18</v>
      </c>
      <c r="C361" s="371" t="s">
        <v>2320</v>
      </c>
      <c r="D361" s="31">
        <f>+VLOOKUP(E361,Codigos!$A$1:$B$1123,2,0)</f>
        <v>18150</v>
      </c>
      <c r="E361" s="1111" t="s">
        <v>1822</v>
      </c>
      <c r="F361" s="1103">
        <v>1</v>
      </c>
      <c r="G361" s="30">
        <f>198+99</f>
        <v>297</v>
      </c>
      <c r="H361" s="1061">
        <f>CEILING(G361,'Parametros Generales'!$C$8)</f>
        <v>300</v>
      </c>
      <c r="I361" s="1057" t="s">
        <v>248</v>
      </c>
      <c r="J361" s="1084">
        <v>300</v>
      </c>
      <c r="K361" s="1072" t="str">
        <f t="shared" si="25"/>
        <v>Ok</v>
      </c>
      <c r="L361" s="1077">
        <f t="shared" si="26"/>
        <v>0</v>
      </c>
      <c r="M361" s="1090">
        <f>+H361/'Parametros Generales'!$C$8</f>
        <v>12</v>
      </c>
      <c r="N361" s="1097"/>
      <c r="O361" s="1097"/>
      <c r="P361" s="1097"/>
      <c r="Q361" s="1097"/>
      <c r="R361" s="1097">
        <f>+(M361/'Parametros Generales'!$C$9)</f>
        <v>3</v>
      </c>
      <c r="S361" s="390"/>
      <c r="T361" s="390"/>
      <c r="U361" s="390"/>
      <c r="V361" s="389"/>
      <c r="W361" s="32">
        <f>+R361*'Componentes T.H.'!$Q$9*'Parametros Generales'!$C$6</f>
        <v>15055521.213</v>
      </c>
      <c r="X361" s="32">
        <f>(+VLOOKUP(C361,'Transporte y Viaticos'!$B$87:$L$120,2,0)*'Parametros Generales'!$C$7*R361)*(2/3)</f>
        <v>1790769.9381535049</v>
      </c>
      <c r="Y361" s="417"/>
      <c r="Z361" s="417"/>
      <c r="AA361" s="417"/>
      <c r="AB361" s="417">
        <f>+M361*'Parametros Generales'!$C$6*'Parametros Generales'!$J$9</f>
        <v>5842909.0909090927</v>
      </c>
      <c r="AC361" s="417">
        <f>+H361*'Parametros Generales'!$J$10*'Parametros Generales'!$C$6*'Parametros Generales'!$C$11</f>
        <v>22107748.151102442</v>
      </c>
      <c r="AD361" s="417"/>
      <c r="AE361" s="417"/>
      <c r="AF361" s="417"/>
      <c r="AG361" s="417"/>
      <c r="AH361" s="417"/>
      <c r="AI361" s="417"/>
      <c r="AJ361" s="417"/>
      <c r="AK361" s="436"/>
      <c r="AL361" s="822"/>
    </row>
    <row r="362" spans="1:38" s="33" customFormat="1" hidden="1" outlineLevel="1">
      <c r="A362" s="1150"/>
      <c r="B362" s="821">
        <v>18</v>
      </c>
      <c r="C362" s="371" t="s">
        <v>2320</v>
      </c>
      <c r="D362" s="31">
        <f>+VLOOKUP(E362,Codigos!$A$1:$B$1123,2,0)</f>
        <v>18247</v>
      </c>
      <c r="E362" s="1111" t="s">
        <v>1823</v>
      </c>
      <c r="F362" s="1103">
        <v>1</v>
      </c>
      <c r="G362" s="30">
        <f>198-66</f>
        <v>132</v>
      </c>
      <c r="H362" s="1061">
        <f>CEILING((G362+50),'Parametros Generales'!$C$8)</f>
        <v>200</v>
      </c>
      <c r="I362" s="1057" t="s">
        <v>249</v>
      </c>
      <c r="J362" s="1058">
        <v>200</v>
      </c>
      <c r="K362" s="1070" t="str">
        <f t="shared" si="25"/>
        <v>Ok</v>
      </c>
      <c r="L362" s="1077">
        <f t="shared" si="26"/>
        <v>0</v>
      </c>
      <c r="M362" s="1090">
        <f>+H362/'Parametros Generales'!$C$8</f>
        <v>8</v>
      </c>
      <c r="N362" s="1097"/>
      <c r="O362" s="1097"/>
      <c r="P362" s="1097"/>
      <c r="Q362" s="1097"/>
      <c r="R362" s="1097">
        <f>+(M362/'Parametros Generales'!$C$9)</f>
        <v>2</v>
      </c>
      <c r="S362" s="390"/>
      <c r="T362" s="390"/>
      <c r="U362" s="390"/>
      <c r="V362" s="389"/>
      <c r="W362" s="32">
        <f>+R362*'Componentes T.H.'!$Q$9*'Parametros Generales'!$C$6</f>
        <v>10037014.142000001</v>
      </c>
      <c r="X362" s="32">
        <f>(+VLOOKUP(C362,'Transporte y Viaticos'!$B$87:$L$120,2,0)*'Parametros Generales'!$C$7*R362)*(2/3)</f>
        <v>1193846.6254356699</v>
      </c>
      <c r="Y362" s="417"/>
      <c r="Z362" s="417"/>
      <c r="AA362" s="417"/>
      <c r="AB362" s="417">
        <f>+M362*'Parametros Generales'!$C$6*'Parametros Generales'!$J$9</f>
        <v>3895272.7272727285</v>
      </c>
      <c r="AC362" s="417">
        <f>+H362*'Parametros Generales'!$J$10*'Parametros Generales'!$C$6*'Parametros Generales'!$C$11</f>
        <v>14738498.767401624</v>
      </c>
      <c r="AD362" s="417"/>
      <c r="AE362" s="417"/>
      <c r="AF362" s="417"/>
      <c r="AG362" s="417"/>
      <c r="AH362" s="417"/>
      <c r="AI362" s="417"/>
      <c r="AJ362" s="417"/>
      <c r="AK362" s="436"/>
      <c r="AL362" s="822"/>
    </row>
    <row r="363" spans="1:38" s="33" customFormat="1" hidden="1" outlineLevel="1">
      <c r="A363" s="1150"/>
      <c r="B363" s="821">
        <v>18</v>
      </c>
      <c r="C363" s="371" t="s">
        <v>2320</v>
      </c>
      <c r="D363" s="31">
        <f>+VLOOKUP(E363,Codigos!$A$1:$B$1123,2,0)</f>
        <v>18256</v>
      </c>
      <c r="E363" s="1111" t="s">
        <v>1824</v>
      </c>
      <c r="F363" s="1103">
        <v>1</v>
      </c>
      <c r="G363" s="30">
        <f>198-66</f>
        <v>132</v>
      </c>
      <c r="H363" s="1061">
        <f>CEILING((G363+50),'Parametros Generales'!$C$8)</f>
        <v>200</v>
      </c>
      <c r="I363" s="1057" t="s">
        <v>250</v>
      </c>
      <c r="J363" s="1058">
        <v>200</v>
      </c>
      <c r="K363" s="1070" t="str">
        <f t="shared" si="25"/>
        <v>Ok</v>
      </c>
      <c r="L363" s="1077">
        <f t="shared" si="26"/>
        <v>0</v>
      </c>
      <c r="M363" s="1090">
        <f>+H363/'Parametros Generales'!$C$8</f>
        <v>8</v>
      </c>
      <c r="N363" s="1097"/>
      <c r="O363" s="1097"/>
      <c r="P363" s="1097"/>
      <c r="Q363" s="1097"/>
      <c r="R363" s="1097">
        <f>+(M363/'Parametros Generales'!$C$9)</f>
        <v>2</v>
      </c>
      <c r="S363" s="390"/>
      <c r="T363" s="390"/>
      <c r="U363" s="390"/>
      <c r="V363" s="389"/>
      <c r="W363" s="32">
        <f>+R363*'Componentes T.H.'!$Q$9*'Parametros Generales'!$C$6</f>
        <v>10037014.142000001</v>
      </c>
      <c r="X363" s="32">
        <f>(+VLOOKUP(C363,'Transporte y Viaticos'!$B$87:$L$120,2,0)*'Parametros Generales'!$C$7*R363)*(2/3)</f>
        <v>1193846.6254356699</v>
      </c>
      <c r="Y363" s="417"/>
      <c r="Z363" s="417"/>
      <c r="AA363" s="417"/>
      <c r="AB363" s="417">
        <f>+M363*'Parametros Generales'!$C$6*'Parametros Generales'!$J$9</f>
        <v>3895272.7272727285</v>
      </c>
      <c r="AC363" s="417">
        <f>+H363*'Parametros Generales'!$J$10*'Parametros Generales'!$C$6*'Parametros Generales'!$C$11</f>
        <v>14738498.767401624</v>
      </c>
      <c r="AD363" s="417"/>
      <c r="AE363" s="417"/>
      <c r="AF363" s="417"/>
      <c r="AG363" s="417"/>
      <c r="AH363" s="417"/>
      <c r="AI363" s="417"/>
      <c r="AJ363" s="417"/>
      <c r="AK363" s="436"/>
      <c r="AL363" s="822"/>
    </row>
    <row r="364" spans="1:38" s="33" customFormat="1" hidden="1" outlineLevel="1">
      <c r="A364" s="1150"/>
      <c r="B364" s="821">
        <v>18</v>
      </c>
      <c r="C364" s="371" t="s">
        <v>2320</v>
      </c>
      <c r="D364" s="31">
        <f>+VLOOKUP(E364,Codigos!$A$1:$B$1123,2,0)</f>
        <v>18410</v>
      </c>
      <c r="E364" s="1111" t="s">
        <v>1825</v>
      </c>
      <c r="F364" s="1103">
        <v>1</v>
      </c>
      <c r="G364" s="30">
        <v>198</v>
      </c>
      <c r="H364" s="1061">
        <f>CEILING(G364,'Parametros Generales'!$C$8)</f>
        <v>200</v>
      </c>
      <c r="I364" s="1057" t="s">
        <v>251</v>
      </c>
      <c r="J364" s="1058">
        <v>200</v>
      </c>
      <c r="K364" s="1070" t="str">
        <f t="shared" si="25"/>
        <v>Ok</v>
      </c>
      <c r="L364" s="1077">
        <f t="shared" si="26"/>
        <v>0</v>
      </c>
      <c r="M364" s="1090">
        <f>+H364/'Parametros Generales'!$C$8</f>
        <v>8</v>
      </c>
      <c r="N364" s="1097"/>
      <c r="O364" s="1097"/>
      <c r="P364" s="1097"/>
      <c r="Q364" s="1097"/>
      <c r="R364" s="1097">
        <f>+(M364/'Parametros Generales'!$C$9)</f>
        <v>2</v>
      </c>
      <c r="S364" s="390"/>
      <c r="T364" s="390"/>
      <c r="U364" s="390"/>
      <c r="V364" s="389"/>
      <c r="W364" s="32">
        <f>+R364*'Componentes T.H.'!$Q$9*'Parametros Generales'!$C$6</f>
        <v>10037014.142000001</v>
      </c>
      <c r="X364" s="32">
        <f>(+VLOOKUP(C364,'Transporte y Viaticos'!$B$87:$L$120,2,0)*'Parametros Generales'!$C$7*R364)*(2/3)</f>
        <v>1193846.6254356699</v>
      </c>
      <c r="Y364" s="417"/>
      <c r="Z364" s="417"/>
      <c r="AA364" s="417"/>
      <c r="AB364" s="417">
        <f>+M364*'Parametros Generales'!$C$6*'Parametros Generales'!$J$9</f>
        <v>3895272.7272727285</v>
      </c>
      <c r="AC364" s="417">
        <f>+H364*'Parametros Generales'!$J$10*'Parametros Generales'!$C$6*'Parametros Generales'!$C$11</f>
        <v>14738498.767401624</v>
      </c>
      <c r="AD364" s="417"/>
      <c r="AE364" s="417"/>
      <c r="AF364" s="417"/>
      <c r="AG364" s="417"/>
      <c r="AH364" s="417"/>
      <c r="AI364" s="417"/>
      <c r="AJ364" s="417"/>
      <c r="AK364" s="436"/>
      <c r="AL364" s="822"/>
    </row>
    <row r="365" spans="1:38" s="33" customFormat="1" hidden="1" outlineLevel="1">
      <c r="A365" s="1150"/>
      <c r="B365" s="821">
        <v>18</v>
      </c>
      <c r="C365" s="371" t="s">
        <v>2320</v>
      </c>
      <c r="D365" s="31">
        <f>+VLOOKUP(E365,Codigos!$A$1:$B$1123,2,0)</f>
        <v>18460</v>
      </c>
      <c r="E365" s="1111" t="s">
        <v>1826</v>
      </c>
      <c r="F365" s="1103">
        <v>1</v>
      </c>
      <c r="G365" s="30">
        <v>99</v>
      </c>
      <c r="H365" s="1061">
        <f>CEILING(G365,'Parametros Generales'!$C$8)</f>
        <v>100</v>
      </c>
      <c r="I365" s="1057" t="s">
        <v>252</v>
      </c>
      <c r="J365" s="1058">
        <v>100</v>
      </c>
      <c r="K365" s="1070" t="str">
        <f t="shared" si="25"/>
        <v>Ok</v>
      </c>
      <c r="L365" s="1077">
        <f t="shared" si="26"/>
        <v>0</v>
      </c>
      <c r="M365" s="1090">
        <f>+H365/'Parametros Generales'!$C$8</f>
        <v>4</v>
      </c>
      <c r="N365" s="1097"/>
      <c r="O365" s="1097"/>
      <c r="P365" s="1097"/>
      <c r="Q365" s="1097"/>
      <c r="R365" s="1097">
        <f>+(M365/'Parametros Generales'!$C$9)</f>
        <v>1</v>
      </c>
      <c r="S365" s="390"/>
      <c r="T365" s="390"/>
      <c r="U365" s="390"/>
      <c r="V365" s="389"/>
      <c r="W365" s="32">
        <f>+R365*'Componentes T.H.'!$Q$9*'Parametros Generales'!$C$6</f>
        <v>5018507.0710000005</v>
      </c>
      <c r="X365" s="32">
        <f>(+VLOOKUP(C365,'Transporte y Viaticos'!$B$87:$L$120,2,0)*'Parametros Generales'!$C$7*R365)*(2/3)</f>
        <v>596923.31271783495</v>
      </c>
      <c r="Y365" s="417"/>
      <c r="Z365" s="417"/>
      <c r="AA365" s="417"/>
      <c r="AB365" s="417">
        <f>+M365*'Parametros Generales'!$C$6*'Parametros Generales'!$J$9</f>
        <v>1947636.3636363642</v>
      </c>
      <c r="AC365" s="417">
        <f>+H365*'Parametros Generales'!$J$10*'Parametros Generales'!$C$6*'Parametros Generales'!$C$11</f>
        <v>7369249.3837008122</v>
      </c>
      <c r="AD365" s="417"/>
      <c r="AE365" s="417"/>
      <c r="AF365" s="417"/>
      <c r="AG365" s="417"/>
      <c r="AH365" s="417"/>
      <c r="AI365" s="417"/>
      <c r="AJ365" s="417"/>
      <c r="AK365" s="436"/>
      <c r="AL365" s="822"/>
    </row>
    <row r="366" spans="1:38" s="33" customFormat="1" hidden="1" outlineLevel="1">
      <c r="A366" s="1150"/>
      <c r="B366" s="821">
        <v>18</v>
      </c>
      <c r="C366" s="371" t="s">
        <v>2320</v>
      </c>
      <c r="D366" s="31">
        <f>+VLOOKUP(E366,Codigos!$A$1:$B$1123,2,0)</f>
        <v>18592</v>
      </c>
      <c r="E366" s="1111" t="s">
        <v>1827</v>
      </c>
      <c r="F366" s="1103">
        <v>1</v>
      </c>
      <c r="G366" s="30">
        <v>198</v>
      </c>
      <c r="H366" s="1061">
        <f>CEILING(G366,'Parametros Generales'!$C$8)</f>
        <v>200</v>
      </c>
      <c r="I366" s="1057" t="s">
        <v>253</v>
      </c>
      <c r="J366" s="1084">
        <v>200</v>
      </c>
      <c r="K366" s="1072" t="str">
        <f t="shared" si="25"/>
        <v>Ok</v>
      </c>
      <c r="L366" s="1077">
        <f t="shared" si="26"/>
        <v>0</v>
      </c>
      <c r="M366" s="1090">
        <f>+H366/'Parametros Generales'!$C$8</f>
        <v>8</v>
      </c>
      <c r="N366" s="1097"/>
      <c r="O366" s="1097"/>
      <c r="P366" s="1097"/>
      <c r="Q366" s="1097"/>
      <c r="R366" s="1097">
        <f>+(M366/'Parametros Generales'!$C$9)</f>
        <v>2</v>
      </c>
      <c r="S366" s="390"/>
      <c r="T366" s="390"/>
      <c r="U366" s="390"/>
      <c r="V366" s="389"/>
      <c r="W366" s="32">
        <f>+R366*'Componentes T.H.'!$Q$9*'Parametros Generales'!$C$6</f>
        <v>10037014.142000001</v>
      </c>
      <c r="X366" s="32">
        <f>(+VLOOKUP(C366,'Transporte y Viaticos'!$B$87:$L$120,2,0)*'Parametros Generales'!$C$7*R366)*(2/3)</f>
        <v>1193846.6254356699</v>
      </c>
      <c r="Y366" s="417"/>
      <c r="Z366" s="417"/>
      <c r="AA366" s="417"/>
      <c r="AB366" s="417">
        <f>+M366*'Parametros Generales'!$C$6*'Parametros Generales'!$J$9</f>
        <v>3895272.7272727285</v>
      </c>
      <c r="AC366" s="417">
        <f>+H366*'Parametros Generales'!$J$10*'Parametros Generales'!$C$6*'Parametros Generales'!$C$11</f>
        <v>14738498.767401624</v>
      </c>
      <c r="AD366" s="417"/>
      <c r="AE366" s="417"/>
      <c r="AF366" s="417"/>
      <c r="AG366" s="417"/>
      <c r="AH366" s="417"/>
      <c r="AI366" s="417"/>
      <c r="AJ366" s="417"/>
      <c r="AK366" s="436"/>
      <c r="AL366" s="822"/>
    </row>
    <row r="367" spans="1:38" s="33" customFormat="1" hidden="1" outlineLevel="1">
      <c r="A367" s="1150"/>
      <c r="B367" s="821">
        <v>18</v>
      </c>
      <c r="C367" s="371" t="s">
        <v>2320</v>
      </c>
      <c r="D367" s="31">
        <f>+VLOOKUP(E367,Codigos!$A$1:$B$1123,2,0)</f>
        <v>18610</v>
      </c>
      <c r="E367" s="1111" t="s">
        <v>1828</v>
      </c>
      <c r="F367" s="1103">
        <v>1</v>
      </c>
      <c r="G367" s="30">
        <v>198</v>
      </c>
      <c r="H367" s="1061">
        <f>CEILING(G367,'Parametros Generales'!$C$8)</f>
        <v>200</v>
      </c>
      <c r="I367" s="1057" t="s">
        <v>254</v>
      </c>
      <c r="J367" s="1058">
        <v>200</v>
      </c>
      <c r="K367" s="1070" t="str">
        <f t="shared" si="25"/>
        <v>Ok</v>
      </c>
      <c r="L367" s="1077">
        <f t="shared" si="26"/>
        <v>0</v>
      </c>
      <c r="M367" s="1090">
        <f>+H367/'Parametros Generales'!$C$8</f>
        <v>8</v>
      </c>
      <c r="N367" s="1097"/>
      <c r="O367" s="1097"/>
      <c r="P367" s="1097"/>
      <c r="Q367" s="1097"/>
      <c r="R367" s="1097">
        <f>+(M367/'Parametros Generales'!$C$9)</f>
        <v>2</v>
      </c>
      <c r="S367" s="390"/>
      <c r="T367" s="390"/>
      <c r="U367" s="390"/>
      <c r="V367" s="389"/>
      <c r="W367" s="32">
        <f>+R367*'Componentes T.H.'!$Q$9*'Parametros Generales'!$C$6</f>
        <v>10037014.142000001</v>
      </c>
      <c r="X367" s="32">
        <f>(+VLOOKUP(C367,'Transporte y Viaticos'!$B$87:$L$120,2,0)*'Parametros Generales'!$C$7*R367)*(2/3)</f>
        <v>1193846.6254356699</v>
      </c>
      <c r="Y367" s="417"/>
      <c r="Z367" s="417"/>
      <c r="AA367" s="417"/>
      <c r="AB367" s="417">
        <f>+M367*'Parametros Generales'!$C$6*'Parametros Generales'!$J$9</f>
        <v>3895272.7272727285</v>
      </c>
      <c r="AC367" s="417">
        <f>+H367*'Parametros Generales'!$J$10*'Parametros Generales'!$C$6*'Parametros Generales'!$C$11</f>
        <v>14738498.767401624</v>
      </c>
      <c r="AD367" s="417"/>
      <c r="AE367" s="417"/>
      <c r="AF367" s="417"/>
      <c r="AG367" s="417"/>
      <c r="AH367" s="417"/>
      <c r="AI367" s="417"/>
      <c r="AJ367" s="417"/>
      <c r="AK367" s="436"/>
      <c r="AL367" s="822"/>
    </row>
    <row r="368" spans="1:38" s="33" customFormat="1" hidden="1" outlineLevel="1">
      <c r="A368" s="1150"/>
      <c r="B368" s="821">
        <v>18</v>
      </c>
      <c r="C368" s="371" t="s">
        <v>2320</v>
      </c>
      <c r="D368" s="31">
        <f>+VLOOKUP(E368,Codigos!$A$1:$B$1123,2,0)</f>
        <v>18753</v>
      </c>
      <c r="E368" s="1111" t="s">
        <v>1829</v>
      </c>
      <c r="F368" s="1103">
        <v>1</v>
      </c>
      <c r="G368" s="30">
        <v>297</v>
      </c>
      <c r="H368" s="1061">
        <f>CEILING((G368+363+20),'Parametros Generales'!$C$8)</f>
        <v>700</v>
      </c>
      <c r="I368" s="1057" t="s">
        <v>255</v>
      </c>
      <c r="J368" s="1084">
        <v>700</v>
      </c>
      <c r="K368" s="1072" t="str">
        <f t="shared" si="25"/>
        <v>Ok</v>
      </c>
      <c r="L368" s="1077">
        <f t="shared" si="26"/>
        <v>0</v>
      </c>
      <c r="M368" s="1090">
        <f>+H368/'Parametros Generales'!$C$8</f>
        <v>28</v>
      </c>
      <c r="N368" s="1097"/>
      <c r="O368" s="1097"/>
      <c r="P368" s="1097"/>
      <c r="Q368" s="1097"/>
      <c r="R368" s="1097">
        <f>+(M368/'Parametros Generales'!$C$9)</f>
        <v>7</v>
      </c>
      <c r="S368" s="390"/>
      <c r="T368" s="390"/>
      <c r="U368" s="390"/>
      <c r="V368" s="389"/>
      <c r="W368" s="32">
        <f>+R368*'Componentes T.H.'!$Q$9*'Parametros Generales'!$C$6</f>
        <v>35129549.496999994</v>
      </c>
      <c r="X368" s="32">
        <f>(+VLOOKUP(C368,'Transporte y Viaticos'!$B$87:$L$120,2,0)*'Parametros Generales'!$C$7*R368)*(2/3)</f>
        <v>4178463.1890248451</v>
      </c>
      <c r="Y368" s="417"/>
      <c r="Z368" s="417"/>
      <c r="AA368" s="417"/>
      <c r="AB368" s="417">
        <f>+M368*'Parametros Generales'!$C$6*'Parametros Generales'!$J$9</f>
        <v>13633454.545454549</v>
      </c>
      <c r="AC368" s="417">
        <f>+H368*'Parametros Generales'!$J$10*'Parametros Generales'!$C$6*'Parametros Generales'!$C$11</f>
        <v>51584745.685905688</v>
      </c>
      <c r="AD368" s="417"/>
      <c r="AE368" s="417"/>
      <c r="AF368" s="417"/>
      <c r="AG368" s="417"/>
      <c r="AH368" s="417"/>
      <c r="AI368" s="417"/>
      <c r="AJ368" s="417"/>
      <c r="AK368" s="436"/>
      <c r="AL368" s="822"/>
    </row>
    <row r="369" spans="1:38" s="33" customFormat="1" hidden="1" outlineLevel="1">
      <c r="A369" s="1150"/>
      <c r="B369" s="821">
        <v>18</v>
      </c>
      <c r="C369" s="371" t="s">
        <v>2320</v>
      </c>
      <c r="D369" s="31">
        <f>+VLOOKUP(E369,Codigos!$A$1:$B$1123,2,0)</f>
        <v>18756</v>
      </c>
      <c r="E369" s="1111" t="s">
        <v>1830</v>
      </c>
      <c r="F369" s="1103">
        <v>1</v>
      </c>
      <c r="G369" s="30">
        <v>99</v>
      </c>
      <c r="H369" s="1061">
        <f>CEILING(G369,'Parametros Generales'!$C$8)</f>
        <v>100</v>
      </c>
      <c r="I369" s="1057" t="s">
        <v>256</v>
      </c>
      <c r="J369" s="1058">
        <v>100</v>
      </c>
      <c r="K369" s="1070" t="str">
        <f t="shared" si="25"/>
        <v>Ok</v>
      </c>
      <c r="L369" s="1077">
        <f t="shared" si="26"/>
        <v>0</v>
      </c>
      <c r="M369" s="1090">
        <f>+H369/'Parametros Generales'!$C$8</f>
        <v>4</v>
      </c>
      <c r="N369" s="1097"/>
      <c r="O369" s="1097"/>
      <c r="P369" s="1097"/>
      <c r="Q369" s="1097"/>
      <c r="R369" s="1097">
        <f>+(M369/'Parametros Generales'!$C$9)</f>
        <v>1</v>
      </c>
      <c r="S369" s="390"/>
      <c r="T369" s="390"/>
      <c r="U369" s="390"/>
      <c r="V369" s="389"/>
      <c r="W369" s="32">
        <f>+R369*'Componentes T.H.'!$Q$9*'Parametros Generales'!$C$6</f>
        <v>5018507.0710000005</v>
      </c>
      <c r="X369" s="32">
        <f>(+VLOOKUP(C369,'Transporte y Viaticos'!$B$87:$L$120,2,0)*'Parametros Generales'!$C$7*R369)*(2/3)</f>
        <v>596923.31271783495</v>
      </c>
      <c r="Y369" s="417"/>
      <c r="Z369" s="417"/>
      <c r="AA369" s="417"/>
      <c r="AB369" s="417">
        <f>+M369*'Parametros Generales'!$C$6*'Parametros Generales'!$J$9</f>
        <v>1947636.3636363642</v>
      </c>
      <c r="AC369" s="417">
        <f>+H369*'Parametros Generales'!$J$10*'Parametros Generales'!$C$6*'Parametros Generales'!$C$11</f>
        <v>7369249.3837008122</v>
      </c>
      <c r="AD369" s="417"/>
      <c r="AE369" s="417"/>
      <c r="AF369" s="417"/>
      <c r="AG369" s="417"/>
      <c r="AH369" s="417"/>
      <c r="AI369" s="417"/>
      <c r="AJ369" s="417"/>
      <c r="AK369" s="436"/>
      <c r="AL369" s="822"/>
    </row>
    <row r="370" spans="1:38" s="33" customFormat="1" hidden="1" outlineLevel="1">
      <c r="A370" s="1150"/>
      <c r="B370" s="821">
        <v>18</v>
      </c>
      <c r="C370" s="371" t="s">
        <v>2320</v>
      </c>
      <c r="D370" s="31">
        <f>+VLOOKUP(E370,Codigos!$A$1:$B$1123,2,0)</f>
        <v>18785</v>
      </c>
      <c r="E370" s="1111" t="s">
        <v>1831</v>
      </c>
      <c r="F370" s="1103">
        <v>1</v>
      </c>
      <c r="G370" s="30">
        <v>198</v>
      </c>
      <c r="H370" s="1061">
        <f>CEILING(G370,'Parametros Generales'!$C$8)</f>
        <v>200</v>
      </c>
      <c r="I370" s="1057" t="s">
        <v>257</v>
      </c>
      <c r="J370" s="1058">
        <v>200</v>
      </c>
      <c r="K370" s="1070" t="str">
        <f t="shared" si="25"/>
        <v>Ok</v>
      </c>
      <c r="L370" s="1077">
        <f t="shared" si="26"/>
        <v>0</v>
      </c>
      <c r="M370" s="1090">
        <f>+H370/'Parametros Generales'!$C$8</f>
        <v>8</v>
      </c>
      <c r="N370" s="1097"/>
      <c r="O370" s="1097"/>
      <c r="P370" s="1097"/>
      <c r="Q370" s="1097"/>
      <c r="R370" s="1097">
        <f>+(M370/'Parametros Generales'!$C$9)</f>
        <v>2</v>
      </c>
      <c r="S370" s="390"/>
      <c r="T370" s="390"/>
      <c r="U370" s="390"/>
      <c r="V370" s="389"/>
      <c r="W370" s="32">
        <f>+R370*'Componentes T.H.'!$Q$9*'Parametros Generales'!$C$6</f>
        <v>10037014.142000001</v>
      </c>
      <c r="X370" s="32">
        <f>(+VLOOKUP(C370,'Transporte y Viaticos'!$B$87:$L$120,2,0)*'Parametros Generales'!$C$7*R370)*(2/3)</f>
        <v>1193846.6254356699</v>
      </c>
      <c r="Y370" s="417"/>
      <c r="Z370" s="417"/>
      <c r="AA370" s="417"/>
      <c r="AB370" s="417">
        <f>+M370*'Parametros Generales'!$C$6*'Parametros Generales'!$J$9</f>
        <v>3895272.7272727285</v>
      </c>
      <c r="AC370" s="417">
        <f>+H370*'Parametros Generales'!$J$10*'Parametros Generales'!$C$6*'Parametros Generales'!$C$11</f>
        <v>14738498.767401624</v>
      </c>
      <c r="AD370" s="417"/>
      <c r="AE370" s="417"/>
      <c r="AF370" s="417"/>
      <c r="AG370" s="417"/>
      <c r="AH370" s="417"/>
      <c r="AI370" s="417"/>
      <c r="AJ370" s="417"/>
      <c r="AK370" s="436"/>
      <c r="AL370" s="822"/>
    </row>
    <row r="371" spans="1:38" s="33" customFormat="1" hidden="1" outlineLevel="1">
      <c r="A371" s="1150"/>
      <c r="B371" s="823">
        <v>18</v>
      </c>
      <c r="C371" s="373" t="s">
        <v>2320</v>
      </c>
      <c r="D371" s="374">
        <f>+VLOOKUP(E371,Codigos!$A$1:$B$1123,2,0)</f>
        <v>18860</v>
      </c>
      <c r="E371" s="1113" t="s">
        <v>1832</v>
      </c>
      <c r="F371" s="1104">
        <v>1</v>
      </c>
      <c r="G371" s="375">
        <v>198</v>
      </c>
      <c r="H371" s="1062">
        <f>CEILING(G371,'Parametros Generales'!$C$8)</f>
        <v>200</v>
      </c>
      <c r="I371" s="1057" t="s">
        <v>258</v>
      </c>
      <c r="J371" s="1058">
        <v>200</v>
      </c>
      <c r="K371" s="1070" t="str">
        <f t="shared" si="25"/>
        <v>Ok</v>
      </c>
      <c r="L371" s="1077">
        <f t="shared" si="26"/>
        <v>0</v>
      </c>
      <c r="M371" s="1091">
        <f>+H371/'Parametros Generales'!$C$8</f>
        <v>8</v>
      </c>
      <c r="N371" s="1098"/>
      <c r="O371" s="1098"/>
      <c r="P371" s="1098"/>
      <c r="Q371" s="1098"/>
      <c r="R371" s="1098">
        <f>+(M371/'Parametros Generales'!$C$9)</f>
        <v>2</v>
      </c>
      <c r="S371" s="395"/>
      <c r="T371" s="395"/>
      <c r="U371" s="395"/>
      <c r="V371" s="396"/>
      <c r="W371" s="376">
        <f>+R371*'Componentes T.H.'!$Q$9*'Parametros Generales'!$C$6</f>
        <v>10037014.142000001</v>
      </c>
      <c r="X371" s="376">
        <f>(+VLOOKUP(C371,'Transporte y Viaticos'!$B$87:$L$120,2,0)*'Parametros Generales'!$C$7*R371)*(2/3)</f>
        <v>1193846.6254356699</v>
      </c>
      <c r="Y371" s="417"/>
      <c r="Z371" s="417"/>
      <c r="AA371" s="417"/>
      <c r="AB371" s="417">
        <f>+M371*'Parametros Generales'!$C$6*'Parametros Generales'!$J$9</f>
        <v>3895272.7272727285</v>
      </c>
      <c r="AC371" s="417">
        <f>+H371*'Parametros Generales'!$J$10*'Parametros Generales'!$C$6*'Parametros Generales'!$C$11</f>
        <v>14738498.767401624</v>
      </c>
      <c r="AD371" s="417"/>
      <c r="AE371" s="417"/>
      <c r="AF371" s="417"/>
      <c r="AG371" s="417"/>
      <c r="AH371" s="417"/>
      <c r="AI371" s="417"/>
      <c r="AJ371" s="417"/>
      <c r="AK371" s="436"/>
      <c r="AL371" s="822"/>
    </row>
    <row r="372" spans="1:38" s="33" customFormat="1" hidden="1" outlineLevel="1">
      <c r="A372" s="1150"/>
      <c r="B372" s="823">
        <v>18</v>
      </c>
      <c r="C372" s="373" t="str">
        <f t="shared" ref="C372:C378" si="28">+C371</f>
        <v>CAQUETÁ</v>
      </c>
      <c r="D372" s="374"/>
      <c r="E372" s="1113"/>
      <c r="F372" s="1104"/>
      <c r="G372" s="375"/>
      <c r="H372" s="1062"/>
      <c r="I372" s="1057"/>
      <c r="J372" s="1058"/>
      <c r="K372" s="1070" t="str">
        <f t="shared" si="25"/>
        <v>Ok</v>
      </c>
      <c r="L372" s="1077">
        <f t="shared" si="26"/>
        <v>0</v>
      </c>
      <c r="M372" s="1091">
        <f>+H372/'Parametros Generales'!$C$8</f>
        <v>0</v>
      </c>
      <c r="N372" s="1098"/>
      <c r="O372" s="1098"/>
      <c r="P372" s="1098"/>
      <c r="Q372" s="1098"/>
      <c r="R372" s="1098">
        <f>+(M372/'Parametros Generales'!$C$9)</f>
        <v>0</v>
      </c>
      <c r="S372" s="395"/>
      <c r="T372" s="395"/>
      <c r="U372" s="395"/>
      <c r="V372" s="396"/>
      <c r="W372" s="376">
        <f>+R372*'Componentes T.H.'!$Q$9*'Parametros Generales'!$C$6</f>
        <v>0</v>
      </c>
      <c r="X372" s="376">
        <f>(+VLOOKUP(C372,'Transporte y Viaticos'!$B$87:$L$120,2,0)*'Parametros Generales'!$C$7*R372)*(2/3)</f>
        <v>0</v>
      </c>
      <c r="Y372" s="417"/>
      <c r="Z372" s="417"/>
      <c r="AA372" s="417"/>
      <c r="AB372" s="417">
        <f>+M372*'Parametros Generales'!$C$6*'Parametros Generales'!$J$9</f>
        <v>0</v>
      </c>
      <c r="AC372" s="417">
        <f>+H372*'Parametros Generales'!$J$10*'Parametros Generales'!$C$6*'Parametros Generales'!$C$11</f>
        <v>0</v>
      </c>
      <c r="AD372" s="417"/>
      <c r="AE372" s="417"/>
      <c r="AF372" s="417"/>
      <c r="AG372" s="417"/>
      <c r="AH372" s="417"/>
      <c r="AI372" s="417"/>
      <c r="AJ372" s="417"/>
      <c r="AK372" s="436"/>
      <c r="AL372" s="822"/>
    </row>
    <row r="373" spans="1:38" s="33" customFormat="1" hidden="1" outlineLevel="1">
      <c r="A373" s="1150"/>
      <c r="B373" s="823">
        <v>18</v>
      </c>
      <c r="C373" s="373" t="str">
        <f t="shared" si="28"/>
        <v>CAQUETÁ</v>
      </c>
      <c r="D373" s="374"/>
      <c r="E373" s="1113"/>
      <c r="F373" s="1104"/>
      <c r="G373" s="375"/>
      <c r="H373" s="1062"/>
      <c r="I373" s="1057"/>
      <c r="J373" s="1058"/>
      <c r="K373" s="1070" t="str">
        <f t="shared" si="25"/>
        <v>Ok</v>
      </c>
      <c r="L373" s="1077">
        <f t="shared" si="26"/>
        <v>0</v>
      </c>
      <c r="M373" s="1091">
        <f>+H373/'Parametros Generales'!$C$8</f>
        <v>0</v>
      </c>
      <c r="N373" s="1098"/>
      <c r="O373" s="1098"/>
      <c r="P373" s="1098"/>
      <c r="Q373" s="1098"/>
      <c r="R373" s="1098">
        <f>+(M373/'Parametros Generales'!$C$9)</f>
        <v>0</v>
      </c>
      <c r="S373" s="395"/>
      <c r="T373" s="395"/>
      <c r="U373" s="395"/>
      <c r="V373" s="396"/>
      <c r="W373" s="376">
        <f>+R373*'Componentes T.H.'!$Q$9*'Parametros Generales'!$C$6</f>
        <v>0</v>
      </c>
      <c r="X373" s="376">
        <f>(+VLOOKUP(C373,'Transporte y Viaticos'!$B$87:$L$120,2,0)*'Parametros Generales'!$C$7*R373)*(2/3)</f>
        <v>0</v>
      </c>
      <c r="Y373" s="417"/>
      <c r="Z373" s="417"/>
      <c r="AA373" s="417"/>
      <c r="AB373" s="417">
        <f>+M373*'Parametros Generales'!$C$6*'Parametros Generales'!$J$9</f>
        <v>0</v>
      </c>
      <c r="AC373" s="417">
        <f>+H373*'Parametros Generales'!$J$10*'Parametros Generales'!$C$6*'Parametros Generales'!$C$11</f>
        <v>0</v>
      </c>
      <c r="AD373" s="417"/>
      <c r="AE373" s="417"/>
      <c r="AF373" s="417"/>
      <c r="AG373" s="417"/>
      <c r="AH373" s="417"/>
      <c r="AI373" s="417"/>
      <c r="AJ373" s="417"/>
      <c r="AK373" s="436"/>
      <c r="AL373" s="822"/>
    </row>
    <row r="374" spans="1:38" s="33" customFormat="1" hidden="1" outlineLevel="1">
      <c r="A374" s="1150"/>
      <c r="B374" s="823">
        <v>18</v>
      </c>
      <c r="C374" s="373" t="str">
        <f t="shared" si="28"/>
        <v>CAQUETÁ</v>
      </c>
      <c r="D374" s="374"/>
      <c r="E374" s="1113"/>
      <c r="F374" s="1104"/>
      <c r="G374" s="375"/>
      <c r="H374" s="1062"/>
      <c r="I374" s="1057"/>
      <c r="J374" s="1058"/>
      <c r="K374" s="1070" t="str">
        <f t="shared" si="25"/>
        <v>Ok</v>
      </c>
      <c r="L374" s="1077">
        <f t="shared" si="26"/>
        <v>0</v>
      </c>
      <c r="M374" s="1091">
        <f>+H374/'Parametros Generales'!$C$8</f>
        <v>0</v>
      </c>
      <c r="N374" s="1098"/>
      <c r="O374" s="1098"/>
      <c r="P374" s="1098"/>
      <c r="Q374" s="1098"/>
      <c r="R374" s="1098">
        <f>+(M374/'Parametros Generales'!$C$9)</f>
        <v>0</v>
      </c>
      <c r="S374" s="395"/>
      <c r="T374" s="395"/>
      <c r="U374" s="395"/>
      <c r="V374" s="396"/>
      <c r="W374" s="376">
        <f>+R374*'Componentes T.H.'!$Q$9*'Parametros Generales'!$C$6</f>
        <v>0</v>
      </c>
      <c r="X374" s="376">
        <f>(+VLOOKUP(C374,'Transporte y Viaticos'!$B$87:$L$120,2,0)*'Parametros Generales'!$C$7*R374)*(2/3)</f>
        <v>0</v>
      </c>
      <c r="Y374" s="417"/>
      <c r="Z374" s="417"/>
      <c r="AA374" s="417"/>
      <c r="AB374" s="417">
        <f>+M374*'Parametros Generales'!$C$6*'Parametros Generales'!$J$9</f>
        <v>0</v>
      </c>
      <c r="AC374" s="417">
        <f>+H374*'Parametros Generales'!$J$10*'Parametros Generales'!$C$6*'Parametros Generales'!$C$11</f>
        <v>0</v>
      </c>
      <c r="AD374" s="417"/>
      <c r="AE374" s="417"/>
      <c r="AF374" s="417"/>
      <c r="AG374" s="417"/>
      <c r="AH374" s="417"/>
      <c r="AI374" s="417"/>
      <c r="AJ374" s="417"/>
      <c r="AK374" s="436"/>
      <c r="AL374" s="822"/>
    </row>
    <row r="375" spans="1:38" s="33" customFormat="1" hidden="1" outlineLevel="1">
      <c r="A375" s="1150"/>
      <c r="B375" s="823">
        <v>18</v>
      </c>
      <c r="C375" s="373" t="str">
        <f t="shared" si="28"/>
        <v>CAQUETÁ</v>
      </c>
      <c r="D375" s="374"/>
      <c r="E375" s="1113"/>
      <c r="F375" s="1104"/>
      <c r="G375" s="375"/>
      <c r="H375" s="1062"/>
      <c r="I375" s="1057"/>
      <c r="J375" s="1058"/>
      <c r="K375" s="1070" t="str">
        <f t="shared" si="25"/>
        <v>Ok</v>
      </c>
      <c r="L375" s="1077">
        <f t="shared" si="26"/>
        <v>0</v>
      </c>
      <c r="M375" s="1091">
        <f>+H375/'Parametros Generales'!$C$8</f>
        <v>0</v>
      </c>
      <c r="N375" s="1098"/>
      <c r="O375" s="1098"/>
      <c r="P375" s="1098"/>
      <c r="Q375" s="1098"/>
      <c r="R375" s="1098">
        <f>+(M375/'Parametros Generales'!$C$9)</f>
        <v>0</v>
      </c>
      <c r="S375" s="395"/>
      <c r="T375" s="395"/>
      <c r="U375" s="395"/>
      <c r="V375" s="396"/>
      <c r="W375" s="376">
        <f>+R375*'Componentes T.H.'!$Q$9*'Parametros Generales'!$C$6</f>
        <v>0</v>
      </c>
      <c r="X375" s="376">
        <f>(+VLOOKUP(C375,'Transporte y Viaticos'!$B$87:$L$120,2,0)*'Parametros Generales'!$C$7*R375)*(2/3)</f>
        <v>0</v>
      </c>
      <c r="Y375" s="417"/>
      <c r="Z375" s="417"/>
      <c r="AA375" s="417"/>
      <c r="AB375" s="417">
        <f>+M375*'Parametros Generales'!$C$6*'Parametros Generales'!$J$9</f>
        <v>0</v>
      </c>
      <c r="AC375" s="417">
        <f>+H375*'Parametros Generales'!$J$10*'Parametros Generales'!$C$6*'Parametros Generales'!$C$11</f>
        <v>0</v>
      </c>
      <c r="AD375" s="417"/>
      <c r="AE375" s="417"/>
      <c r="AF375" s="417"/>
      <c r="AG375" s="417"/>
      <c r="AH375" s="417"/>
      <c r="AI375" s="417"/>
      <c r="AJ375" s="417"/>
      <c r="AK375" s="436"/>
      <c r="AL375" s="822"/>
    </row>
    <row r="376" spans="1:38" s="33" customFormat="1" hidden="1" outlineLevel="1">
      <c r="A376" s="1150"/>
      <c r="B376" s="823">
        <v>18</v>
      </c>
      <c r="C376" s="373" t="str">
        <f t="shared" si="28"/>
        <v>CAQUETÁ</v>
      </c>
      <c r="D376" s="374"/>
      <c r="E376" s="1113"/>
      <c r="F376" s="1104"/>
      <c r="G376" s="375"/>
      <c r="H376" s="1062"/>
      <c r="I376" s="1057"/>
      <c r="J376" s="1058"/>
      <c r="K376" s="1070" t="str">
        <f t="shared" si="25"/>
        <v>Ok</v>
      </c>
      <c r="L376" s="1077">
        <f t="shared" si="26"/>
        <v>0</v>
      </c>
      <c r="M376" s="1091">
        <f>+H376/'Parametros Generales'!$C$8</f>
        <v>0</v>
      </c>
      <c r="N376" s="1098"/>
      <c r="O376" s="1098"/>
      <c r="P376" s="1098"/>
      <c r="Q376" s="1098"/>
      <c r="R376" s="1098">
        <f>+(M376/'Parametros Generales'!$C$9)</f>
        <v>0</v>
      </c>
      <c r="S376" s="395"/>
      <c r="T376" s="395"/>
      <c r="U376" s="395"/>
      <c r="V376" s="396"/>
      <c r="W376" s="376">
        <f>+R376*'Componentes T.H.'!$Q$9*'Parametros Generales'!$C$6</f>
        <v>0</v>
      </c>
      <c r="X376" s="376">
        <f>(+VLOOKUP(C376,'Transporte y Viaticos'!$B$87:$L$120,2,0)*'Parametros Generales'!$C$7*R376)*(2/3)</f>
        <v>0</v>
      </c>
      <c r="Y376" s="417"/>
      <c r="Z376" s="417"/>
      <c r="AA376" s="417"/>
      <c r="AB376" s="417">
        <f>+M376*'Parametros Generales'!$C$6*'Parametros Generales'!$J$9</f>
        <v>0</v>
      </c>
      <c r="AC376" s="417">
        <f>+H376*'Parametros Generales'!$J$10*'Parametros Generales'!$C$6*'Parametros Generales'!$C$11</f>
        <v>0</v>
      </c>
      <c r="AD376" s="417"/>
      <c r="AE376" s="417"/>
      <c r="AF376" s="417"/>
      <c r="AG376" s="417"/>
      <c r="AH376" s="417"/>
      <c r="AI376" s="417"/>
      <c r="AJ376" s="417"/>
      <c r="AK376" s="436"/>
      <c r="AL376" s="822"/>
    </row>
    <row r="377" spans="1:38" s="33" customFormat="1" hidden="1" outlineLevel="1">
      <c r="A377" s="1150"/>
      <c r="B377" s="823">
        <v>18</v>
      </c>
      <c r="C377" s="373" t="str">
        <f t="shared" si="28"/>
        <v>CAQUETÁ</v>
      </c>
      <c r="D377" s="374"/>
      <c r="E377" s="1113"/>
      <c r="F377" s="1104"/>
      <c r="G377" s="375"/>
      <c r="H377" s="1062"/>
      <c r="I377" s="1057"/>
      <c r="J377" s="1058"/>
      <c r="K377" s="1070" t="str">
        <f t="shared" si="25"/>
        <v>Ok</v>
      </c>
      <c r="L377" s="1077">
        <f t="shared" si="26"/>
        <v>0</v>
      </c>
      <c r="M377" s="1091">
        <f>+H377/'Parametros Generales'!$C$8</f>
        <v>0</v>
      </c>
      <c r="N377" s="1098"/>
      <c r="O377" s="1098"/>
      <c r="P377" s="1098"/>
      <c r="Q377" s="1098"/>
      <c r="R377" s="1098">
        <f>+(M377/'Parametros Generales'!$C$9)</f>
        <v>0</v>
      </c>
      <c r="S377" s="395"/>
      <c r="T377" s="395"/>
      <c r="U377" s="395"/>
      <c r="V377" s="396"/>
      <c r="W377" s="376">
        <f>+R377*'Componentes T.H.'!$Q$9*'Parametros Generales'!$C$6</f>
        <v>0</v>
      </c>
      <c r="X377" s="376">
        <f>(+VLOOKUP(C377,'Transporte y Viaticos'!$B$87:$L$120,2,0)*'Parametros Generales'!$C$7*R377)*(2/3)</f>
        <v>0</v>
      </c>
      <c r="Y377" s="417"/>
      <c r="Z377" s="417"/>
      <c r="AA377" s="417"/>
      <c r="AB377" s="417">
        <f>+M377*'Parametros Generales'!$C$6*'Parametros Generales'!$J$9</f>
        <v>0</v>
      </c>
      <c r="AC377" s="417">
        <f>+H377*'Parametros Generales'!$J$10*'Parametros Generales'!$C$6*'Parametros Generales'!$C$11</f>
        <v>0</v>
      </c>
      <c r="AD377" s="417"/>
      <c r="AE377" s="417"/>
      <c r="AF377" s="417"/>
      <c r="AG377" s="417"/>
      <c r="AH377" s="417"/>
      <c r="AI377" s="417"/>
      <c r="AJ377" s="417"/>
      <c r="AK377" s="436"/>
      <c r="AL377" s="822"/>
    </row>
    <row r="378" spans="1:38" s="33" customFormat="1" hidden="1" outlineLevel="1">
      <c r="A378" s="1150"/>
      <c r="B378" s="823">
        <v>18</v>
      </c>
      <c r="C378" s="373" t="str">
        <f t="shared" si="28"/>
        <v>CAQUETÁ</v>
      </c>
      <c r="D378" s="374"/>
      <c r="E378" s="1113"/>
      <c r="F378" s="1104"/>
      <c r="G378" s="375"/>
      <c r="H378" s="1062"/>
      <c r="I378" s="1057"/>
      <c r="J378" s="1058"/>
      <c r="K378" s="1070" t="str">
        <f t="shared" si="25"/>
        <v>Ok</v>
      </c>
      <c r="L378" s="1077">
        <f t="shared" si="26"/>
        <v>0</v>
      </c>
      <c r="M378" s="1091">
        <f>+H378/'Parametros Generales'!$C$8</f>
        <v>0</v>
      </c>
      <c r="N378" s="1098"/>
      <c r="O378" s="1098"/>
      <c r="P378" s="1098"/>
      <c r="Q378" s="1098"/>
      <c r="R378" s="1098">
        <f>+(M378/'Parametros Generales'!$C$9)</f>
        <v>0</v>
      </c>
      <c r="S378" s="395"/>
      <c r="T378" s="395"/>
      <c r="U378" s="395"/>
      <c r="V378" s="396"/>
      <c r="W378" s="376">
        <f>+R378*'Componentes T.H.'!$Q$9*'Parametros Generales'!$C$6</f>
        <v>0</v>
      </c>
      <c r="X378" s="376">
        <f>(+VLOOKUP(C378,'Transporte y Viaticos'!$B$87:$L$120,2,0)*'Parametros Generales'!$C$7*R378)*(2/3)</f>
        <v>0</v>
      </c>
      <c r="Y378" s="417"/>
      <c r="Z378" s="417"/>
      <c r="AA378" s="417"/>
      <c r="AB378" s="417">
        <f>+M378*'Parametros Generales'!$C$6*'Parametros Generales'!$J$9</f>
        <v>0</v>
      </c>
      <c r="AC378" s="417">
        <f>+H378*'Parametros Generales'!$J$10*'Parametros Generales'!$C$6*'Parametros Generales'!$C$11</f>
        <v>0</v>
      </c>
      <c r="AD378" s="417"/>
      <c r="AE378" s="417"/>
      <c r="AF378" s="417"/>
      <c r="AG378" s="417"/>
      <c r="AH378" s="417"/>
      <c r="AI378" s="417"/>
      <c r="AJ378" s="417"/>
      <c r="AK378" s="436"/>
      <c r="AL378" s="822"/>
    </row>
    <row r="379" spans="1:38" s="392" customFormat="1" collapsed="1">
      <c r="A379" s="1151">
        <v>8</v>
      </c>
      <c r="B379" s="824">
        <v>19</v>
      </c>
      <c r="C379" s="385" t="s">
        <v>259</v>
      </c>
      <c r="D379" s="386"/>
      <c r="E379" s="1114" t="s">
        <v>259</v>
      </c>
      <c r="F379" s="1105">
        <f>SUM(F380:F412)</f>
        <v>33</v>
      </c>
      <c r="G379" s="388">
        <f>+SUM(G380:G412)</f>
        <v>7524</v>
      </c>
      <c r="H379" s="512">
        <f>+SUM(H380:H429)</f>
        <v>7600</v>
      </c>
      <c r="I379" s="1057" t="s">
        <v>259</v>
      </c>
      <c r="J379" s="1067">
        <v>7600</v>
      </c>
      <c r="K379" s="1069" t="str">
        <f t="shared" si="25"/>
        <v>Ok</v>
      </c>
      <c r="L379" s="1077">
        <f t="shared" si="26"/>
        <v>0</v>
      </c>
      <c r="M379" s="512">
        <f>+SUM(M380:M429)</f>
        <v>304</v>
      </c>
      <c r="N379" s="1073">
        <f>+VLOOKUP(H379,'Parametros Generales'!$B$14:$D$17,3,TRUE)</f>
        <v>0.8</v>
      </c>
      <c r="O379" s="1073">
        <f>+VLOOKUP(H379,'Parametros Generales'!$B$14:$D$17,3,TRUE)</f>
        <v>0.8</v>
      </c>
      <c r="P379" s="1073">
        <f>+VLOOKUP(H379,'Parametros Generales'!$B$14:$D$17,3,TRUE)</f>
        <v>0.8</v>
      </c>
      <c r="Q379" s="1073">
        <f>+R379/'Parametros Generales'!$C$10</f>
        <v>9.5</v>
      </c>
      <c r="R379" s="512">
        <f>+SUM(R380:R429)</f>
        <v>76</v>
      </c>
      <c r="S379" s="390">
        <f>+VLOOKUP(S$1,'Componentes T.H.'!$B$4:$R$22,'Componentes T.H.'!$Q$1,0)*'Parametros Generales'!$C$6*'Cost x Depart'!N379</f>
        <v>11725411.310133336</v>
      </c>
      <c r="T379" s="390">
        <f>+VLOOKUP(T$1,'Componentes T.H.'!$B$4:$R$22,'Componentes T.H.'!$Q$1,0)*'Parametros Generales'!$C$6*'Cost x Depart'!O379</f>
        <v>8835052.5272000004</v>
      </c>
      <c r="U379" s="390">
        <f>+VLOOKUP(U$1,'Componentes T.H.'!$B$4:$R$22,'Componentes T.H.'!$Q$1,0)*'Parametros Generales'!$C$6*'Cost x Depart'!P379</f>
        <v>3912345.6000000001</v>
      </c>
      <c r="V379" s="389">
        <f>+VLOOKUP(V$1,'Componentes T.H.'!$B$4:$R$22,'Componentes T.H.'!$Q$1,0)*'Parametros Generales'!$C$6*'Cost x Depart'!Q379</f>
        <v>94914951.57616666</v>
      </c>
      <c r="W379" s="512">
        <f>+SUM(W380:W429)</f>
        <v>381406537.39600015</v>
      </c>
      <c r="X379" s="512">
        <f>+SUM(X380:X429)</f>
        <v>77767239.94101961</v>
      </c>
      <c r="Y379" s="391">
        <f>+VLOOKUP(C380,'Transporte y Viaticos'!$B$87:$F$120,2,0)*((O379/'Parametros Generales'!$J$14)+(Q379/'Parametros Generales'!$J$15)+(R379/'Parametros Generales'!$J$16))*'Parametros Generales'!$C$6</f>
        <v>3706734.5616624178</v>
      </c>
      <c r="Z379" s="391">
        <f>+(N379+O379+Q379)*'Parametros Generales'!$C$6*'Parametros Generales'!$J$7</f>
        <v>2182482</v>
      </c>
      <c r="AA379" s="391">
        <f>+SUM(N379:R379)*'Parametros Generales'!$C$6*'Parametros Generales'!$J$8</f>
        <v>15778050</v>
      </c>
      <c r="AB379" s="512">
        <f>+SUM(AB380:AB429)</f>
        <v>148020363.63636371</v>
      </c>
      <c r="AC379" s="512">
        <f>+SUM(AC380:AC429)</f>
        <v>560062953.16126192</v>
      </c>
      <c r="AD379" s="391">
        <f>+'Parametros Generales'!$J$11*SUM(N379:R379)</f>
        <v>2956956</v>
      </c>
      <c r="AE379" s="436">
        <f>+SUM(S379:AD379)</f>
        <v>1311269077.7098079</v>
      </c>
      <c r="AF379" s="391">
        <f>+AE379*(SUM('Res de Costos Pais'!G117:G117))</f>
        <v>89821931.823121846</v>
      </c>
      <c r="AG379" s="391">
        <f>+AE379+AF379</f>
        <v>1401091009.5329297</v>
      </c>
      <c r="AH379" s="391">
        <f>+AG379*SUM('Res de Costos Pais'!$G$123:$G$124)</f>
        <v>13534539.1520881</v>
      </c>
      <c r="AI379" s="391">
        <f>+(AG379+AH379)*'Res de Costos Pais'!$G$136</f>
        <v>3819488.9814495482</v>
      </c>
      <c r="AJ379" s="391">
        <f>+(AG379+AH379+AI379)*'Res de Costos Pais'!$G$140</f>
        <v>5673780.1506658699</v>
      </c>
      <c r="AK379" s="391">
        <f>+AG379+AH379+AI379+AJ379</f>
        <v>1424118817.8171332</v>
      </c>
      <c r="AL379" s="820">
        <f>IF(ISERROR((+(AK379/H379)/'Parametros Generales'!$C$6)),0,(+(AK379/H379)/'Parametros Generales'!$C$6))</f>
        <v>37476.810995187712</v>
      </c>
    </row>
    <row r="380" spans="1:38" s="33" customFormat="1" hidden="1" outlineLevel="1">
      <c r="A380" s="1150"/>
      <c r="B380" s="819">
        <v>19</v>
      </c>
      <c r="C380" s="377" t="s">
        <v>259</v>
      </c>
      <c r="D380" s="378">
        <f>+VLOOKUP(E380,Codigos!$A$1:$B$1123,2,0)</f>
        <v>19001</v>
      </c>
      <c r="E380" s="1110" t="s">
        <v>1833</v>
      </c>
      <c r="F380" s="1102">
        <v>1</v>
      </c>
      <c r="G380" s="379">
        <v>990</v>
      </c>
      <c r="H380" s="1060">
        <f>CEILING(G380,'Parametros Generales'!$C$8)</f>
        <v>1000</v>
      </c>
      <c r="I380" s="1057" t="s">
        <v>260</v>
      </c>
      <c r="J380" s="1058">
        <v>1000</v>
      </c>
      <c r="K380" s="1070" t="str">
        <f t="shared" si="25"/>
        <v>Ok</v>
      </c>
      <c r="L380" s="1077">
        <f t="shared" si="26"/>
        <v>0</v>
      </c>
      <c r="M380" s="1089">
        <f>+H380/'Parametros Generales'!$C$8</f>
        <v>40</v>
      </c>
      <c r="N380" s="1096"/>
      <c r="O380" s="1096"/>
      <c r="P380" s="1096"/>
      <c r="Q380" s="1096"/>
      <c r="R380" s="1096">
        <f>+(M380/'Parametros Generales'!$C$9)</f>
        <v>10</v>
      </c>
      <c r="S380" s="393"/>
      <c r="T380" s="393"/>
      <c r="U380" s="393"/>
      <c r="V380" s="394"/>
      <c r="W380" s="380">
        <f>+R380*'Componentes T.H.'!$Q$9*'Parametros Generales'!$C$6</f>
        <v>50185070.710000008</v>
      </c>
      <c r="X380" s="380">
        <f>(+VLOOKUP(C380,'Transporte y Viaticos'!$B$87:$L$120,2,0)*'Parametros Generales'!$C$7*R380)*(2/3)</f>
        <v>10232531.5711868</v>
      </c>
      <c r="Y380" s="417"/>
      <c r="Z380" s="417"/>
      <c r="AA380" s="417"/>
      <c r="AB380" s="417">
        <f>+M380*'Parametros Generales'!$C$6*'Parametros Generales'!$J$9</f>
        <v>19476363.63636364</v>
      </c>
      <c r="AC380" s="417">
        <f>+H380*'Parametros Generales'!$J$10*'Parametros Generales'!$C$6*'Parametros Generales'!$C$11</f>
        <v>73692493.837008134</v>
      </c>
      <c r="AD380" s="417"/>
      <c r="AE380" s="417"/>
      <c r="AF380" s="417"/>
      <c r="AG380" s="417"/>
      <c r="AH380" s="417"/>
      <c r="AI380" s="417"/>
      <c r="AJ380" s="417"/>
      <c r="AK380" s="436"/>
      <c r="AL380" s="822"/>
    </row>
    <row r="381" spans="1:38" s="33" customFormat="1" hidden="1" outlineLevel="1">
      <c r="A381" s="1150"/>
      <c r="B381" s="821">
        <v>19</v>
      </c>
      <c r="C381" s="371" t="s">
        <v>259</v>
      </c>
      <c r="D381" s="31">
        <f>+VLOOKUP(E381,Codigos!$A$1:$B$1123,2,0)</f>
        <v>19022</v>
      </c>
      <c r="E381" s="1111" t="s">
        <v>1834</v>
      </c>
      <c r="F381" s="1103">
        <v>1</v>
      </c>
      <c r="G381" s="30">
        <v>198</v>
      </c>
      <c r="H381" s="1061">
        <f>CEILING(G381,'Parametros Generales'!$C$8)</f>
        <v>200</v>
      </c>
      <c r="I381" s="1057" t="s">
        <v>261</v>
      </c>
      <c r="J381" s="1058">
        <v>200</v>
      </c>
      <c r="K381" s="1070" t="str">
        <f t="shared" si="25"/>
        <v>Ok</v>
      </c>
      <c r="L381" s="1077">
        <f t="shared" si="26"/>
        <v>0</v>
      </c>
      <c r="M381" s="1090">
        <f>+H381/'Parametros Generales'!$C$8</f>
        <v>8</v>
      </c>
      <c r="N381" s="1097"/>
      <c r="O381" s="1097"/>
      <c r="P381" s="1097"/>
      <c r="Q381" s="1097"/>
      <c r="R381" s="1097">
        <f>+(M381/'Parametros Generales'!$C$9)</f>
        <v>2</v>
      </c>
      <c r="S381" s="390"/>
      <c r="T381" s="390"/>
      <c r="U381" s="390"/>
      <c r="V381" s="389"/>
      <c r="W381" s="32">
        <f>+R381*'Componentes T.H.'!$Q$9*'Parametros Generales'!$C$6</f>
        <v>10037014.142000001</v>
      </c>
      <c r="X381" s="32">
        <f>(+VLOOKUP(C381,'Transporte y Viaticos'!$B$87:$L$120,2,0)*'Parametros Generales'!$C$7*R381)*(2/3)</f>
        <v>2046506.3142373599</v>
      </c>
      <c r="Y381" s="417"/>
      <c r="Z381" s="417"/>
      <c r="AA381" s="417"/>
      <c r="AB381" s="417">
        <f>+M381*'Parametros Generales'!$C$6*'Parametros Generales'!$J$9</f>
        <v>3895272.7272727285</v>
      </c>
      <c r="AC381" s="417">
        <f>+H381*'Parametros Generales'!$J$10*'Parametros Generales'!$C$6*'Parametros Generales'!$C$11</f>
        <v>14738498.767401624</v>
      </c>
      <c r="AD381" s="417"/>
      <c r="AE381" s="417"/>
      <c r="AF381" s="417"/>
      <c r="AG381" s="417"/>
      <c r="AH381" s="417"/>
      <c r="AI381" s="417"/>
      <c r="AJ381" s="417"/>
      <c r="AK381" s="436"/>
      <c r="AL381" s="822"/>
    </row>
    <row r="382" spans="1:38" s="33" customFormat="1" hidden="1" outlineLevel="1">
      <c r="A382" s="1150"/>
      <c r="B382" s="821">
        <v>19</v>
      </c>
      <c r="C382" s="371" t="s">
        <v>259</v>
      </c>
      <c r="D382" s="31">
        <f>+VLOOKUP(E382,Codigos!$A$1:$B$1123,2,0)</f>
        <v>19050</v>
      </c>
      <c r="E382" s="1111" t="s">
        <v>1835</v>
      </c>
      <c r="F382" s="1103">
        <v>1</v>
      </c>
      <c r="G382" s="30">
        <v>198</v>
      </c>
      <c r="H382" s="1061">
        <f>CEILING(G382,'Parametros Generales'!$C$8)</f>
        <v>200</v>
      </c>
      <c r="I382" s="1057" t="s">
        <v>262</v>
      </c>
      <c r="J382" s="1058">
        <v>200</v>
      </c>
      <c r="K382" s="1070" t="str">
        <f t="shared" si="25"/>
        <v>Ok</v>
      </c>
      <c r="L382" s="1077">
        <f t="shared" si="26"/>
        <v>0</v>
      </c>
      <c r="M382" s="1090">
        <f>+H382/'Parametros Generales'!$C$8</f>
        <v>8</v>
      </c>
      <c r="N382" s="1097"/>
      <c r="O382" s="1097"/>
      <c r="P382" s="1097"/>
      <c r="Q382" s="1097"/>
      <c r="R382" s="1097">
        <f>+(M382/'Parametros Generales'!$C$9)</f>
        <v>2</v>
      </c>
      <c r="S382" s="390"/>
      <c r="T382" s="390"/>
      <c r="U382" s="390"/>
      <c r="V382" s="389"/>
      <c r="W382" s="32">
        <f>+R382*'Componentes T.H.'!$Q$9*'Parametros Generales'!$C$6</f>
        <v>10037014.142000001</v>
      </c>
      <c r="X382" s="32">
        <f>(+VLOOKUP(C382,'Transporte y Viaticos'!$B$87:$L$120,2,0)*'Parametros Generales'!$C$7*R382)*(2/3)</f>
        <v>2046506.3142373599</v>
      </c>
      <c r="Y382" s="417"/>
      <c r="Z382" s="417"/>
      <c r="AA382" s="417"/>
      <c r="AB382" s="417">
        <f>+M382*'Parametros Generales'!$C$6*'Parametros Generales'!$J$9</f>
        <v>3895272.7272727285</v>
      </c>
      <c r="AC382" s="417">
        <f>+H382*'Parametros Generales'!$J$10*'Parametros Generales'!$C$6*'Parametros Generales'!$C$11</f>
        <v>14738498.767401624</v>
      </c>
      <c r="AD382" s="417"/>
      <c r="AE382" s="417"/>
      <c r="AF382" s="417"/>
      <c r="AG382" s="417"/>
      <c r="AH382" s="417"/>
      <c r="AI382" s="417"/>
      <c r="AJ382" s="417"/>
      <c r="AK382" s="436"/>
      <c r="AL382" s="822"/>
    </row>
    <row r="383" spans="1:38" s="33" customFormat="1" hidden="1" outlineLevel="1">
      <c r="A383" s="1150"/>
      <c r="B383" s="821">
        <v>19</v>
      </c>
      <c r="C383" s="371" t="s">
        <v>259</v>
      </c>
      <c r="D383" s="31">
        <f>+VLOOKUP(E383,Codigos!$A$1:$B$1123,2,0)</f>
        <v>19075</v>
      </c>
      <c r="E383" s="1111" t="s">
        <v>1836</v>
      </c>
      <c r="F383" s="1103">
        <v>1</v>
      </c>
      <c r="G383" s="30">
        <v>198</v>
      </c>
      <c r="H383" s="1061">
        <f>CEILING(G383,'Parametros Generales'!$C$8)</f>
        <v>200</v>
      </c>
      <c r="I383" s="1057" t="s">
        <v>263</v>
      </c>
      <c r="J383" s="1058">
        <v>200</v>
      </c>
      <c r="K383" s="1070" t="str">
        <f t="shared" si="25"/>
        <v>Ok</v>
      </c>
      <c r="L383" s="1077">
        <f t="shared" si="26"/>
        <v>0</v>
      </c>
      <c r="M383" s="1090">
        <f>+H383/'Parametros Generales'!$C$8</f>
        <v>8</v>
      </c>
      <c r="N383" s="1097"/>
      <c r="O383" s="1097"/>
      <c r="P383" s="1097"/>
      <c r="Q383" s="1097"/>
      <c r="R383" s="1097">
        <f>+(M383/'Parametros Generales'!$C$9)</f>
        <v>2</v>
      </c>
      <c r="S383" s="390"/>
      <c r="T383" s="390"/>
      <c r="U383" s="390"/>
      <c r="V383" s="389"/>
      <c r="W383" s="32">
        <f>+R383*'Componentes T.H.'!$Q$9*'Parametros Generales'!$C$6</f>
        <v>10037014.142000001</v>
      </c>
      <c r="X383" s="32">
        <f>(+VLOOKUP(C383,'Transporte y Viaticos'!$B$87:$L$120,2,0)*'Parametros Generales'!$C$7*R383)*(2/3)</f>
        <v>2046506.3142373599</v>
      </c>
      <c r="Y383" s="417"/>
      <c r="Z383" s="417"/>
      <c r="AA383" s="417"/>
      <c r="AB383" s="417">
        <f>+M383*'Parametros Generales'!$C$6*'Parametros Generales'!$J$9</f>
        <v>3895272.7272727285</v>
      </c>
      <c r="AC383" s="417">
        <f>+H383*'Parametros Generales'!$J$10*'Parametros Generales'!$C$6*'Parametros Generales'!$C$11</f>
        <v>14738498.767401624</v>
      </c>
      <c r="AD383" s="417"/>
      <c r="AE383" s="417"/>
      <c r="AF383" s="417"/>
      <c r="AG383" s="417"/>
      <c r="AH383" s="417"/>
      <c r="AI383" s="417"/>
      <c r="AJ383" s="417"/>
      <c r="AK383" s="436"/>
      <c r="AL383" s="822"/>
    </row>
    <row r="384" spans="1:38" s="33" customFormat="1" hidden="1" outlineLevel="1">
      <c r="A384" s="1150"/>
      <c r="B384" s="821">
        <v>19</v>
      </c>
      <c r="C384" s="371" t="s">
        <v>259</v>
      </c>
      <c r="D384" s="31">
        <f>+VLOOKUP(E384,Codigos!$A$1:$B$1123,2,0)</f>
        <v>19100</v>
      </c>
      <c r="E384" s="1111" t="s">
        <v>1837</v>
      </c>
      <c r="F384" s="1103">
        <v>1</v>
      </c>
      <c r="G384" s="30">
        <v>198</v>
      </c>
      <c r="H384" s="1061">
        <f>CEILING(G384,'Parametros Generales'!$C$8)</f>
        <v>200</v>
      </c>
      <c r="I384" s="1057" t="s">
        <v>264</v>
      </c>
      <c r="J384" s="1058">
        <v>200</v>
      </c>
      <c r="K384" s="1070" t="str">
        <f t="shared" si="25"/>
        <v>Ok</v>
      </c>
      <c r="L384" s="1077">
        <f t="shared" si="26"/>
        <v>0</v>
      </c>
      <c r="M384" s="1090">
        <f>+H384/'Parametros Generales'!$C$8</f>
        <v>8</v>
      </c>
      <c r="N384" s="1097"/>
      <c r="O384" s="1097"/>
      <c r="P384" s="1097"/>
      <c r="Q384" s="1097"/>
      <c r="R384" s="1097">
        <f>+(M384/'Parametros Generales'!$C$9)</f>
        <v>2</v>
      </c>
      <c r="S384" s="390"/>
      <c r="T384" s="390"/>
      <c r="U384" s="390"/>
      <c r="V384" s="389"/>
      <c r="W384" s="32">
        <f>+R384*'Componentes T.H.'!$Q$9*'Parametros Generales'!$C$6</f>
        <v>10037014.142000001</v>
      </c>
      <c r="X384" s="32">
        <f>(+VLOOKUP(C384,'Transporte y Viaticos'!$B$87:$L$120,2,0)*'Parametros Generales'!$C$7*R384)*(2/3)</f>
        <v>2046506.3142373599</v>
      </c>
      <c r="Y384" s="417"/>
      <c r="Z384" s="417"/>
      <c r="AA384" s="417"/>
      <c r="AB384" s="417">
        <f>+M384*'Parametros Generales'!$C$6*'Parametros Generales'!$J$9</f>
        <v>3895272.7272727285</v>
      </c>
      <c r="AC384" s="417">
        <f>+H384*'Parametros Generales'!$J$10*'Parametros Generales'!$C$6*'Parametros Generales'!$C$11</f>
        <v>14738498.767401624</v>
      </c>
      <c r="AD384" s="417"/>
      <c r="AE384" s="417"/>
      <c r="AF384" s="417"/>
      <c r="AG384" s="417"/>
      <c r="AH384" s="417"/>
      <c r="AI384" s="417"/>
      <c r="AJ384" s="417"/>
      <c r="AK384" s="436"/>
      <c r="AL384" s="822"/>
    </row>
    <row r="385" spans="1:38" s="33" customFormat="1" hidden="1" outlineLevel="1">
      <c r="A385" s="1150"/>
      <c r="B385" s="821">
        <v>19</v>
      </c>
      <c r="C385" s="371" t="s">
        <v>259</v>
      </c>
      <c r="D385" s="31">
        <f>+VLOOKUP(E385,Codigos!$A$1:$B$1123,2,0)</f>
        <v>19110</v>
      </c>
      <c r="E385" s="1111" t="s">
        <v>1838</v>
      </c>
      <c r="F385" s="1103">
        <v>1</v>
      </c>
      <c r="G385" s="30">
        <v>198</v>
      </c>
      <c r="H385" s="1061">
        <f>CEILING(G385,'Parametros Generales'!$C$8)</f>
        <v>200</v>
      </c>
      <c r="I385" s="1057" t="s">
        <v>265</v>
      </c>
      <c r="J385" s="1058">
        <v>200</v>
      </c>
      <c r="K385" s="1070" t="str">
        <f t="shared" si="25"/>
        <v>Ok</v>
      </c>
      <c r="L385" s="1077">
        <f t="shared" si="26"/>
        <v>0</v>
      </c>
      <c r="M385" s="1090">
        <f>+H385/'Parametros Generales'!$C$8</f>
        <v>8</v>
      </c>
      <c r="N385" s="1097"/>
      <c r="O385" s="1097"/>
      <c r="P385" s="1097"/>
      <c r="Q385" s="1097"/>
      <c r="R385" s="1097">
        <f>+(M385/'Parametros Generales'!$C$9)</f>
        <v>2</v>
      </c>
      <c r="S385" s="390"/>
      <c r="T385" s="390"/>
      <c r="U385" s="390"/>
      <c r="V385" s="389"/>
      <c r="W385" s="32">
        <f>+R385*'Componentes T.H.'!$Q$9*'Parametros Generales'!$C$6</f>
        <v>10037014.142000001</v>
      </c>
      <c r="X385" s="32">
        <f>(+VLOOKUP(C385,'Transporte y Viaticos'!$B$87:$L$120,2,0)*'Parametros Generales'!$C$7*R385)*(2/3)</f>
        <v>2046506.3142373599</v>
      </c>
      <c r="Y385" s="417"/>
      <c r="Z385" s="417"/>
      <c r="AA385" s="417"/>
      <c r="AB385" s="417">
        <f>+M385*'Parametros Generales'!$C$6*'Parametros Generales'!$J$9</f>
        <v>3895272.7272727285</v>
      </c>
      <c r="AC385" s="417">
        <f>+H385*'Parametros Generales'!$J$10*'Parametros Generales'!$C$6*'Parametros Generales'!$C$11</f>
        <v>14738498.767401624</v>
      </c>
      <c r="AD385" s="417"/>
      <c r="AE385" s="417"/>
      <c r="AF385" s="417"/>
      <c r="AG385" s="417"/>
      <c r="AH385" s="417"/>
      <c r="AI385" s="417"/>
      <c r="AJ385" s="417"/>
      <c r="AK385" s="436"/>
      <c r="AL385" s="822"/>
    </row>
    <row r="386" spans="1:38" s="33" customFormat="1" hidden="1" outlineLevel="1">
      <c r="A386" s="1150"/>
      <c r="B386" s="821">
        <v>19</v>
      </c>
      <c r="C386" s="371" t="s">
        <v>259</v>
      </c>
      <c r="D386" s="31">
        <f>+VLOOKUP(E386,Codigos!$A$1:$B$1123,2,0)</f>
        <v>19130</v>
      </c>
      <c r="E386" s="1111" t="s">
        <v>1839</v>
      </c>
      <c r="F386" s="1103">
        <v>1</v>
      </c>
      <c r="G386" s="30">
        <v>198</v>
      </c>
      <c r="H386" s="1061">
        <f>CEILING(G386,'Parametros Generales'!$C$8)</f>
        <v>200</v>
      </c>
      <c r="I386" s="1057" t="s">
        <v>266</v>
      </c>
      <c r="J386" s="1058">
        <v>200</v>
      </c>
      <c r="K386" s="1070" t="str">
        <f t="shared" ref="K386:K449" si="29">+IF(I386=E386,"Ok","Rev")</f>
        <v>Ok</v>
      </c>
      <c r="L386" s="1077">
        <f t="shared" ref="L386:L449" si="30">+J386-H386</f>
        <v>0</v>
      </c>
      <c r="M386" s="1090">
        <f>+H386/'Parametros Generales'!$C$8</f>
        <v>8</v>
      </c>
      <c r="N386" s="1097"/>
      <c r="O386" s="1097"/>
      <c r="P386" s="1097"/>
      <c r="Q386" s="1097"/>
      <c r="R386" s="1097">
        <f>+(M386/'Parametros Generales'!$C$9)</f>
        <v>2</v>
      </c>
      <c r="S386" s="390"/>
      <c r="T386" s="390"/>
      <c r="U386" s="390"/>
      <c r="V386" s="389"/>
      <c r="W386" s="32">
        <f>+R386*'Componentes T.H.'!$Q$9*'Parametros Generales'!$C$6</f>
        <v>10037014.142000001</v>
      </c>
      <c r="X386" s="32">
        <f>(+VLOOKUP(C386,'Transporte y Viaticos'!$B$87:$L$120,2,0)*'Parametros Generales'!$C$7*R386)*(2/3)</f>
        <v>2046506.3142373599</v>
      </c>
      <c r="Y386" s="417"/>
      <c r="Z386" s="417"/>
      <c r="AA386" s="417"/>
      <c r="AB386" s="417">
        <f>+M386*'Parametros Generales'!$C$6*'Parametros Generales'!$J$9</f>
        <v>3895272.7272727285</v>
      </c>
      <c r="AC386" s="417">
        <f>+H386*'Parametros Generales'!$J$10*'Parametros Generales'!$C$6*'Parametros Generales'!$C$11</f>
        <v>14738498.767401624</v>
      </c>
      <c r="AD386" s="417"/>
      <c r="AE386" s="417"/>
      <c r="AF386" s="417"/>
      <c r="AG386" s="417"/>
      <c r="AH386" s="417"/>
      <c r="AI386" s="417"/>
      <c r="AJ386" s="417"/>
      <c r="AK386" s="436"/>
      <c r="AL386" s="822"/>
    </row>
    <row r="387" spans="1:38" s="33" customFormat="1" hidden="1" outlineLevel="1">
      <c r="A387" s="1150"/>
      <c r="B387" s="821">
        <v>19</v>
      </c>
      <c r="C387" s="371" t="s">
        <v>259</v>
      </c>
      <c r="D387" s="31">
        <f>+VLOOKUP(E387,Codigos!$A$1:$B$1123,2,0)</f>
        <v>19137</v>
      </c>
      <c r="E387" s="1111" t="s">
        <v>1840</v>
      </c>
      <c r="F387" s="1103">
        <v>1</v>
      </c>
      <c r="G387" s="30">
        <v>198</v>
      </c>
      <c r="H387" s="1061">
        <f>CEILING(G387,'Parametros Generales'!$C$8)</f>
        <v>200</v>
      </c>
      <c r="I387" s="1057" t="s">
        <v>267</v>
      </c>
      <c r="J387" s="1058">
        <v>200</v>
      </c>
      <c r="K387" s="1070" t="str">
        <f t="shared" si="29"/>
        <v>Ok</v>
      </c>
      <c r="L387" s="1077">
        <f t="shared" si="30"/>
        <v>0</v>
      </c>
      <c r="M387" s="1090">
        <f>+H387/'Parametros Generales'!$C$8</f>
        <v>8</v>
      </c>
      <c r="N387" s="1097"/>
      <c r="O387" s="1097"/>
      <c r="P387" s="1097"/>
      <c r="Q387" s="1097"/>
      <c r="R387" s="1097">
        <f>+(M387/'Parametros Generales'!$C$9)</f>
        <v>2</v>
      </c>
      <c r="S387" s="390"/>
      <c r="T387" s="390"/>
      <c r="U387" s="390"/>
      <c r="V387" s="389"/>
      <c r="W387" s="32">
        <f>+R387*'Componentes T.H.'!$Q$9*'Parametros Generales'!$C$6</f>
        <v>10037014.142000001</v>
      </c>
      <c r="X387" s="32">
        <f>(+VLOOKUP(C387,'Transporte y Viaticos'!$B$87:$L$120,2,0)*'Parametros Generales'!$C$7*R387)*(2/3)</f>
        <v>2046506.3142373599</v>
      </c>
      <c r="Y387" s="417"/>
      <c r="Z387" s="417"/>
      <c r="AA387" s="417"/>
      <c r="AB387" s="417">
        <f>+M387*'Parametros Generales'!$C$6*'Parametros Generales'!$J$9</f>
        <v>3895272.7272727285</v>
      </c>
      <c r="AC387" s="417">
        <f>+H387*'Parametros Generales'!$J$10*'Parametros Generales'!$C$6*'Parametros Generales'!$C$11</f>
        <v>14738498.767401624</v>
      </c>
      <c r="AD387" s="417"/>
      <c r="AE387" s="417"/>
      <c r="AF387" s="417"/>
      <c r="AG387" s="417"/>
      <c r="AH387" s="417"/>
      <c r="AI387" s="417"/>
      <c r="AJ387" s="417"/>
      <c r="AK387" s="436"/>
      <c r="AL387" s="822"/>
    </row>
    <row r="388" spans="1:38" s="33" customFormat="1" hidden="1" outlineLevel="1">
      <c r="A388" s="1150"/>
      <c r="B388" s="821">
        <v>19</v>
      </c>
      <c r="C388" s="371" t="s">
        <v>259</v>
      </c>
      <c r="D388" s="31">
        <f>+VLOOKUP(E388,Codigos!$A$1:$B$1123,2,0)</f>
        <v>19142</v>
      </c>
      <c r="E388" s="1111" t="s">
        <v>1841</v>
      </c>
      <c r="F388" s="1103">
        <v>1</v>
      </c>
      <c r="G388" s="30">
        <v>198</v>
      </c>
      <c r="H388" s="1061">
        <f>CEILING(G388,'Parametros Generales'!$C$8)</f>
        <v>200</v>
      </c>
      <c r="I388" s="1057" t="s">
        <v>268</v>
      </c>
      <c r="J388" s="1058">
        <v>200</v>
      </c>
      <c r="K388" s="1070" t="str">
        <f t="shared" si="29"/>
        <v>Ok</v>
      </c>
      <c r="L388" s="1077">
        <f t="shared" si="30"/>
        <v>0</v>
      </c>
      <c r="M388" s="1090">
        <f>+H388/'Parametros Generales'!$C$8</f>
        <v>8</v>
      </c>
      <c r="N388" s="1097"/>
      <c r="O388" s="1097"/>
      <c r="P388" s="1097"/>
      <c r="Q388" s="1097"/>
      <c r="R388" s="1097">
        <f>+(M388/'Parametros Generales'!$C$9)</f>
        <v>2</v>
      </c>
      <c r="S388" s="390"/>
      <c r="T388" s="390"/>
      <c r="U388" s="390"/>
      <c r="V388" s="389"/>
      <c r="W388" s="32">
        <f>+R388*'Componentes T.H.'!$Q$9*'Parametros Generales'!$C$6</f>
        <v>10037014.142000001</v>
      </c>
      <c r="X388" s="32">
        <f>(+VLOOKUP(C388,'Transporte y Viaticos'!$B$87:$L$120,2,0)*'Parametros Generales'!$C$7*R388)*(2/3)</f>
        <v>2046506.3142373599</v>
      </c>
      <c r="Y388" s="417"/>
      <c r="Z388" s="417"/>
      <c r="AA388" s="417"/>
      <c r="AB388" s="417">
        <f>+M388*'Parametros Generales'!$C$6*'Parametros Generales'!$J$9</f>
        <v>3895272.7272727285</v>
      </c>
      <c r="AC388" s="417">
        <f>+H388*'Parametros Generales'!$J$10*'Parametros Generales'!$C$6*'Parametros Generales'!$C$11</f>
        <v>14738498.767401624</v>
      </c>
      <c r="AD388" s="417"/>
      <c r="AE388" s="417"/>
      <c r="AF388" s="417"/>
      <c r="AG388" s="417"/>
      <c r="AH388" s="417"/>
      <c r="AI388" s="417"/>
      <c r="AJ388" s="417"/>
      <c r="AK388" s="436"/>
      <c r="AL388" s="822"/>
    </row>
    <row r="389" spans="1:38" s="33" customFormat="1" hidden="1" outlineLevel="1">
      <c r="A389" s="1150"/>
      <c r="B389" s="821">
        <v>19</v>
      </c>
      <c r="C389" s="371" t="s">
        <v>259</v>
      </c>
      <c r="D389" s="31">
        <f>+VLOOKUP(E389,Codigos!$A$1:$B$1123,2,0)</f>
        <v>19212</v>
      </c>
      <c r="E389" s="1111" t="s">
        <v>1842</v>
      </c>
      <c r="F389" s="1103">
        <v>1</v>
      </c>
      <c r="G389" s="30">
        <v>198</v>
      </c>
      <c r="H389" s="1061">
        <f>CEILING(G389,'Parametros Generales'!$C$8)</f>
        <v>200</v>
      </c>
      <c r="I389" s="1057" t="s">
        <v>269</v>
      </c>
      <c r="J389" s="1058">
        <v>200</v>
      </c>
      <c r="K389" s="1070" t="str">
        <f t="shared" si="29"/>
        <v>Ok</v>
      </c>
      <c r="L389" s="1077">
        <f t="shared" si="30"/>
        <v>0</v>
      </c>
      <c r="M389" s="1090">
        <f>+H389/'Parametros Generales'!$C$8</f>
        <v>8</v>
      </c>
      <c r="N389" s="1097"/>
      <c r="O389" s="1097"/>
      <c r="P389" s="1097"/>
      <c r="Q389" s="1097"/>
      <c r="R389" s="1097">
        <f>+(M389/'Parametros Generales'!$C$9)</f>
        <v>2</v>
      </c>
      <c r="S389" s="390"/>
      <c r="T389" s="390"/>
      <c r="U389" s="390"/>
      <c r="V389" s="389"/>
      <c r="W389" s="32">
        <f>+R389*'Componentes T.H.'!$Q$9*'Parametros Generales'!$C$6</f>
        <v>10037014.142000001</v>
      </c>
      <c r="X389" s="32">
        <f>(+VLOOKUP(C389,'Transporte y Viaticos'!$B$87:$L$120,2,0)*'Parametros Generales'!$C$7*R389)*(2/3)</f>
        <v>2046506.3142373599</v>
      </c>
      <c r="Y389" s="417"/>
      <c r="Z389" s="417"/>
      <c r="AA389" s="417"/>
      <c r="AB389" s="417">
        <f>+M389*'Parametros Generales'!$C$6*'Parametros Generales'!$J$9</f>
        <v>3895272.7272727285</v>
      </c>
      <c r="AC389" s="417">
        <f>+H389*'Parametros Generales'!$J$10*'Parametros Generales'!$C$6*'Parametros Generales'!$C$11</f>
        <v>14738498.767401624</v>
      </c>
      <c r="AD389" s="417"/>
      <c r="AE389" s="417"/>
      <c r="AF389" s="417"/>
      <c r="AG389" s="417"/>
      <c r="AH389" s="417"/>
      <c r="AI389" s="417"/>
      <c r="AJ389" s="417"/>
      <c r="AK389" s="436"/>
      <c r="AL389" s="822"/>
    </row>
    <row r="390" spans="1:38" s="33" customFormat="1" hidden="1" outlineLevel="1">
      <c r="A390" s="1150"/>
      <c r="B390" s="821">
        <v>19</v>
      </c>
      <c r="C390" s="371" t="s">
        <v>259</v>
      </c>
      <c r="D390" s="31">
        <f>+VLOOKUP(E390,Codigos!$A$1:$B$1123,2,0)</f>
        <v>19256</v>
      </c>
      <c r="E390" s="1111" t="s">
        <v>1843</v>
      </c>
      <c r="F390" s="1103">
        <v>1</v>
      </c>
      <c r="G390" s="30">
        <v>198</v>
      </c>
      <c r="H390" s="1061">
        <f>CEILING(G390,'Parametros Generales'!$C$8)</f>
        <v>200</v>
      </c>
      <c r="I390" s="1057" t="s">
        <v>270</v>
      </c>
      <c r="J390" s="1058">
        <v>200</v>
      </c>
      <c r="K390" s="1070" t="str">
        <f t="shared" si="29"/>
        <v>Ok</v>
      </c>
      <c r="L390" s="1077">
        <f t="shared" si="30"/>
        <v>0</v>
      </c>
      <c r="M390" s="1090">
        <f>+H390/'Parametros Generales'!$C$8</f>
        <v>8</v>
      </c>
      <c r="N390" s="1097"/>
      <c r="O390" s="1097"/>
      <c r="P390" s="1097"/>
      <c r="Q390" s="1097"/>
      <c r="R390" s="1097">
        <f>+(M390/'Parametros Generales'!$C$9)</f>
        <v>2</v>
      </c>
      <c r="S390" s="390"/>
      <c r="T390" s="390"/>
      <c r="U390" s="390"/>
      <c r="V390" s="389"/>
      <c r="W390" s="32">
        <f>+R390*'Componentes T.H.'!$Q$9*'Parametros Generales'!$C$6</f>
        <v>10037014.142000001</v>
      </c>
      <c r="X390" s="32">
        <f>(+VLOOKUP(C390,'Transporte y Viaticos'!$B$87:$L$120,2,0)*'Parametros Generales'!$C$7*R390)*(2/3)</f>
        <v>2046506.3142373599</v>
      </c>
      <c r="Y390" s="417"/>
      <c r="Z390" s="417"/>
      <c r="AA390" s="417"/>
      <c r="AB390" s="417">
        <f>+M390*'Parametros Generales'!$C$6*'Parametros Generales'!$J$9</f>
        <v>3895272.7272727285</v>
      </c>
      <c r="AC390" s="417">
        <f>+H390*'Parametros Generales'!$J$10*'Parametros Generales'!$C$6*'Parametros Generales'!$C$11</f>
        <v>14738498.767401624</v>
      </c>
      <c r="AD390" s="417"/>
      <c r="AE390" s="417"/>
      <c r="AF390" s="417"/>
      <c r="AG390" s="417"/>
      <c r="AH390" s="417"/>
      <c r="AI390" s="417"/>
      <c r="AJ390" s="417"/>
      <c r="AK390" s="436"/>
      <c r="AL390" s="822"/>
    </row>
    <row r="391" spans="1:38" s="33" customFormat="1" hidden="1" outlineLevel="1">
      <c r="A391" s="1150"/>
      <c r="B391" s="821">
        <v>19</v>
      </c>
      <c r="C391" s="371" t="s">
        <v>259</v>
      </c>
      <c r="D391" s="31">
        <f>+VLOOKUP(E391,Codigos!$A$1:$B$1123,2,0)</f>
        <v>19300</v>
      </c>
      <c r="E391" s="1111" t="s">
        <v>1844</v>
      </c>
      <c r="F391" s="1103">
        <v>1</v>
      </c>
      <c r="G391" s="30">
        <v>198</v>
      </c>
      <c r="H391" s="1061">
        <f>CEILING(G391,'Parametros Generales'!$C$8)</f>
        <v>200</v>
      </c>
      <c r="I391" s="1057" t="s">
        <v>271</v>
      </c>
      <c r="J391" s="1058">
        <v>200</v>
      </c>
      <c r="K391" s="1070" t="str">
        <f t="shared" si="29"/>
        <v>Ok</v>
      </c>
      <c r="L391" s="1077">
        <f t="shared" si="30"/>
        <v>0</v>
      </c>
      <c r="M391" s="1090">
        <f>+H391/'Parametros Generales'!$C$8</f>
        <v>8</v>
      </c>
      <c r="N391" s="1097"/>
      <c r="O391" s="1097"/>
      <c r="P391" s="1097"/>
      <c r="Q391" s="1097"/>
      <c r="R391" s="1097">
        <f>+(M391/'Parametros Generales'!$C$9)</f>
        <v>2</v>
      </c>
      <c r="S391" s="390"/>
      <c r="T391" s="390"/>
      <c r="U391" s="390"/>
      <c r="V391" s="389"/>
      <c r="W391" s="32">
        <f>+R391*'Componentes T.H.'!$Q$9*'Parametros Generales'!$C$6</f>
        <v>10037014.142000001</v>
      </c>
      <c r="X391" s="32">
        <f>(+VLOOKUP(C391,'Transporte y Viaticos'!$B$87:$L$120,2,0)*'Parametros Generales'!$C$7*R391)*(2/3)</f>
        <v>2046506.3142373599</v>
      </c>
      <c r="Y391" s="417"/>
      <c r="Z391" s="417"/>
      <c r="AA391" s="417"/>
      <c r="AB391" s="417">
        <f>+M391*'Parametros Generales'!$C$6*'Parametros Generales'!$J$9</f>
        <v>3895272.7272727285</v>
      </c>
      <c r="AC391" s="417">
        <f>+H391*'Parametros Generales'!$J$10*'Parametros Generales'!$C$6*'Parametros Generales'!$C$11</f>
        <v>14738498.767401624</v>
      </c>
      <c r="AD391" s="417"/>
      <c r="AE391" s="417"/>
      <c r="AF391" s="417"/>
      <c r="AG391" s="417"/>
      <c r="AH391" s="417"/>
      <c r="AI391" s="417"/>
      <c r="AJ391" s="417"/>
      <c r="AK391" s="436"/>
      <c r="AL391" s="822"/>
    </row>
    <row r="392" spans="1:38" s="33" customFormat="1" hidden="1" outlineLevel="1">
      <c r="A392" s="1150"/>
      <c r="B392" s="821">
        <v>19</v>
      </c>
      <c r="C392" s="371" t="s">
        <v>259</v>
      </c>
      <c r="D392" s="31">
        <f>+VLOOKUP(E392,Codigos!$A$1:$B$1123,2,0)</f>
        <v>19318</v>
      </c>
      <c r="E392" s="1111" t="s">
        <v>1845</v>
      </c>
      <c r="F392" s="1103">
        <v>1</v>
      </c>
      <c r="G392" s="30">
        <v>396</v>
      </c>
      <c r="H392" s="1061">
        <f>CEILING(G392,'Parametros Generales'!$C$8)</f>
        <v>400</v>
      </c>
      <c r="I392" s="1057" t="s">
        <v>272</v>
      </c>
      <c r="J392" s="1058">
        <v>400</v>
      </c>
      <c r="K392" s="1070" t="str">
        <f t="shared" si="29"/>
        <v>Ok</v>
      </c>
      <c r="L392" s="1077">
        <f t="shared" si="30"/>
        <v>0</v>
      </c>
      <c r="M392" s="1090">
        <f>+H392/'Parametros Generales'!$C$8</f>
        <v>16</v>
      </c>
      <c r="N392" s="1097"/>
      <c r="O392" s="1097"/>
      <c r="P392" s="1097"/>
      <c r="Q392" s="1097"/>
      <c r="R392" s="1097">
        <f>+(M392/'Parametros Generales'!$C$9)</f>
        <v>4</v>
      </c>
      <c r="S392" s="390"/>
      <c r="T392" s="390"/>
      <c r="U392" s="390"/>
      <c r="V392" s="389"/>
      <c r="W392" s="32">
        <f>+R392*'Componentes T.H.'!$Q$9*'Parametros Generales'!$C$6</f>
        <v>20074028.284000002</v>
      </c>
      <c r="X392" s="32">
        <f>(+VLOOKUP(C392,'Transporte y Viaticos'!$B$87:$L$120,2,0)*'Parametros Generales'!$C$7*R392)*(2/3)</f>
        <v>4093012.6284747198</v>
      </c>
      <c r="Y392" s="417"/>
      <c r="Z392" s="417"/>
      <c r="AA392" s="417"/>
      <c r="AB392" s="417">
        <f>+M392*'Parametros Generales'!$C$6*'Parametros Generales'!$J$9</f>
        <v>7790545.4545454569</v>
      </c>
      <c r="AC392" s="417">
        <f>+H392*'Parametros Generales'!$J$10*'Parametros Generales'!$C$6*'Parametros Generales'!$C$11</f>
        <v>29476997.534803249</v>
      </c>
      <c r="AD392" s="417"/>
      <c r="AE392" s="417"/>
      <c r="AF392" s="417"/>
      <c r="AG392" s="417"/>
      <c r="AH392" s="417"/>
      <c r="AI392" s="417"/>
      <c r="AJ392" s="417"/>
      <c r="AK392" s="436"/>
      <c r="AL392" s="822"/>
    </row>
    <row r="393" spans="1:38" s="33" customFormat="1" hidden="1" outlineLevel="1">
      <c r="A393" s="1150"/>
      <c r="B393" s="821">
        <v>19</v>
      </c>
      <c r="C393" s="371" t="s">
        <v>259</v>
      </c>
      <c r="D393" s="31">
        <f>+VLOOKUP(E393,Codigos!$A$1:$B$1123,2,0)</f>
        <v>19355</v>
      </c>
      <c r="E393" s="1111" t="s">
        <v>1846</v>
      </c>
      <c r="F393" s="1103">
        <v>1</v>
      </c>
      <c r="G393" s="30">
        <v>198</v>
      </c>
      <c r="H393" s="1061">
        <f>CEILING(G393,'Parametros Generales'!$C$8)</f>
        <v>200</v>
      </c>
      <c r="I393" s="1057" t="s">
        <v>273</v>
      </c>
      <c r="J393" s="1058">
        <v>200</v>
      </c>
      <c r="K393" s="1070" t="str">
        <f t="shared" si="29"/>
        <v>Ok</v>
      </c>
      <c r="L393" s="1077">
        <f t="shared" si="30"/>
        <v>0</v>
      </c>
      <c r="M393" s="1090">
        <f>+H393/'Parametros Generales'!$C$8</f>
        <v>8</v>
      </c>
      <c r="N393" s="1097"/>
      <c r="O393" s="1097"/>
      <c r="P393" s="1097"/>
      <c r="Q393" s="1097"/>
      <c r="R393" s="1097">
        <f>+(M393/'Parametros Generales'!$C$9)</f>
        <v>2</v>
      </c>
      <c r="S393" s="390"/>
      <c r="T393" s="390"/>
      <c r="U393" s="390"/>
      <c r="V393" s="389"/>
      <c r="W393" s="32">
        <f>+R393*'Componentes T.H.'!$Q$9*'Parametros Generales'!$C$6</f>
        <v>10037014.142000001</v>
      </c>
      <c r="X393" s="32">
        <f>(+VLOOKUP(C393,'Transporte y Viaticos'!$B$87:$L$120,2,0)*'Parametros Generales'!$C$7*R393)*(2/3)</f>
        <v>2046506.3142373599</v>
      </c>
      <c r="Y393" s="417"/>
      <c r="Z393" s="417"/>
      <c r="AA393" s="417"/>
      <c r="AB393" s="417">
        <f>+M393*'Parametros Generales'!$C$6*'Parametros Generales'!$J$9</f>
        <v>3895272.7272727285</v>
      </c>
      <c r="AC393" s="417">
        <f>+H393*'Parametros Generales'!$J$10*'Parametros Generales'!$C$6*'Parametros Generales'!$C$11</f>
        <v>14738498.767401624</v>
      </c>
      <c r="AD393" s="417"/>
      <c r="AE393" s="417"/>
      <c r="AF393" s="417"/>
      <c r="AG393" s="417"/>
      <c r="AH393" s="417"/>
      <c r="AI393" s="417"/>
      <c r="AJ393" s="417"/>
      <c r="AK393" s="436"/>
      <c r="AL393" s="822"/>
    </row>
    <row r="394" spans="1:38" s="33" customFormat="1" hidden="1" outlineLevel="1">
      <c r="A394" s="1150"/>
      <c r="B394" s="821">
        <v>19</v>
      </c>
      <c r="C394" s="371" t="s">
        <v>259</v>
      </c>
      <c r="D394" s="31">
        <f>+VLOOKUP(E394,Codigos!$A$1:$B$1123,2,0)</f>
        <v>19397</v>
      </c>
      <c r="E394" s="1111" t="s">
        <v>1847</v>
      </c>
      <c r="F394" s="1103">
        <v>1</v>
      </c>
      <c r="G394" s="30">
        <v>198</v>
      </c>
      <c r="H394" s="1061">
        <f>CEILING(G394,'Parametros Generales'!$C$8)</f>
        <v>200</v>
      </c>
      <c r="I394" s="1057" t="s">
        <v>274</v>
      </c>
      <c r="J394" s="1058">
        <v>200</v>
      </c>
      <c r="K394" s="1070" t="str">
        <f t="shared" si="29"/>
        <v>Ok</v>
      </c>
      <c r="L394" s="1077">
        <f t="shared" si="30"/>
        <v>0</v>
      </c>
      <c r="M394" s="1090">
        <f>+H394/'Parametros Generales'!$C$8</f>
        <v>8</v>
      </c>
      <c r="N394" s="1097"/>
      <c r="O394" s="1097"/>
      <c r="P394" s="1097"/>
      <c r="Q394" s="1097"/>
      <c r="R394" s="1097">
        <f>+(M394/'Parametros Generales'!$C$9)</f>
        <v>2</v>
      </c>
      <c r="S394" s="390"/>
      <c r="T394" s="390"/>
      <c r="U394" s="390"/>
      <c r="V394" s="389"/>
      <c r="W394" s="32">
        <f>+R394*'Componentes T.H.'!$Q$9*'Parametros Generales'!$C$6</f>
        <v>10037014.142000001</v>
      </c>
      <c r="X394" s="32">
        <f>(+VLOOKUP(C394,'Transporte y Viaticos'!$B$87:$L$120,2,0)*'Parametros Generales'!$C$7*R394)*(2/3)</f>
        <v>2046506.3142373599</v>
      </c>
      <c r="Y394" s="417"/>
      <c r="Z394" s="417"/>
      <c r="AA394" s="417"/>
      <c r="AB394" s="417">
        <f>+M394*'Parametros Generales'!$C$6*'Parametros Generales'!$J$9</f>
        <v>3895272.7272727285</v>
      </c>
      <c r="AC394" s="417">
        <f>+H394*'Parametros Generales'!$J$10*'Parametros Generales'!$C$6*'Parametros Generales'!$C$11</f>
        <v>14738498.767401624</v>
      </c>
      <c r="AD394" s="417"/>
      <c r="AE394" s="417"/>
      <c r="AF394" s="417"/>
      <c r="AG394" s="417"/>
      <c r="AH394" s="417"/>
      <c r="AI394" s="417"/>
      <c r="AJ394" s="417"/>
      <c r="AK394" s="436"/>
      <c r="AL394" s="822"/>
    </row>
    <row r="395" spans="1:38" s="33" customFormat="1" hidden="1" outlineLevel="1">
      <c r="A395" s="1150"/>
      <c r="B395" s="821">
        <v>19</v>
      </c>
      <c r="C395" s="371" t="s">
        <v>259</v>
      </c>
      <c r="D395" s="31">
        <f>+VLOOKUP(E395,Codigos!$A$1:$B$1123,2,0)</f>
        <v>19418</v>
      </c>
      <c r="E395" s="1111" t="s">
        <v>1848</v>
      </c>
      <c r="F395" s="1103">
        <v>1</v>
      </c>
      <c r="G395" s="30">
        <v>198</v>
      </c>
      <c r="H395" s="1061">
        <f>CEILING(G395,'Parametros Generales'!$C$8)</f>
        <v>200</v>
      </c>
      <c r="I395" s="1057" t="s">
        <v>275</v>
      </c>
      <c r="J395" s="1058">
        <v>200</v>
      </c>
      <c r="K395" s="1070" t="str">
        <f t="shared" si="29"/>
        <v>Ok</v>
      </c>
      <c r="L395" s="1077">
        <f t="shared" si="30"/>
        <v>0</v>
      </c>
      <c r="M395" s="1090">
        <f>+H395/'Parametros Generales'!$C$8</f>
        <v>8</v>
      </c>
      <c r="N395" s="1097"/>
      <c r="O395" s="1097"/>
      <c r="P395" s="1097"/>
      <c r="Q395" s="1097"/>
      <c r="R395" s="1097">
        <f>+(M395/'Parametros Generales'!$C$9)</f>
        <v>2</v>
      </c>
      <c r="S395" s="390"/>
      <c r="T395" s="390"/>
      <c r="U395" s="390"/>
      <c r="V395" s="389"/>
      <c r="W395" s="32">
        <f>+R395*'Componentes T.H.'!$Q$9*'Parametros Generales'!$C$6</f>
        <v>10037014.142000001</v>
      </c>
      <c r="X395" s="32">
        <f>(+VLOOKUP(C395,'Transporte y Viaticos'!$B$87:$L$120,2,0)*'Parametros Generales'!$C$7*R395)*(2/3)</f>
        <v>2046506.3142373599</v>
      </c>
      <c r="Y395" s="417"/>
      <c r="Z395" s="417"/>
      <c r="AA395" s="417"/>
      <c r="AB395" s="417">
        <f>+M395*'Parametros Generales'!$C$6*'Parametros Generales'!$J$9</f>
        <v>3895272.7272727285</v>
      </c>
      <c r="AC395" s="417">
        <f>+H395*'Parametros Generales'!$J$10*'Parametros Generales'!$C$6*'Parametros Generales'!$C$11</f>
        <v>14738498.767401624</v>
      </c>
      <c r="AD395" s="417"/>
      <c r="AE395" s="417"/>
      <c r="AF395" s="417"/>
      <c r="AG395" s="417"/>
      <c r="AH395" s="417"/>
      <c r="AI395" s="417"/>
      <c r="AJ395" s="417"/>
      <c r="AK395" s="436"/>
      <c r="AL395" s="822"/>
    </row>
    <row r="396" spans="1:38" s="33" customFormat="1" hidden="1" outlineLevel="1">
      <c r="A396" s="1150"/>
      <c r="B396" s="821">
        <v>19</v>
      </c>
      <c r="C396" s="371" t="s">
        <v>259</v>
      </c>
      <c r="D396" s="31">
        <f>+VLOOKUP(E396,Codigos!$A$1:$B$1123,2,0)</f>
        <v>19450</v>
      </c>
      <c r="E396" s="1111" t="s">
        <v>1849</v>
      </c>
      <c r="F396" s="1103">
        <v>1</v>
      </c>
      <c r="G396" s="30">
        <v>198</v>
      </c>
      <c r="H396" s="1061">
        <f>CEILING(G396,'Parametros Generales'!$C$8)</f>
        <v>200</v>
      </c>
      <c r="I396" s="1057" t="s">
        <v>276</v>
      </c>
      <c r="J396" s="1058">
        <v>200</v>
      </c>
      <c r="K396" s="1070" t="str">
        <f t="shared" si="29"/>
        <v>Ok</v>
      </c>
      <c r="L396" s="1077">
        <f t="shared" si="30"/>
        <v>0</v>
      </c>
      <c r="M396" s="1090">
        <f>+H396/'Parametros Generales'!$C$8</f>
        <v>8</v>
      </c>
      <c r="N396" s="1097"/>
      <c r="O396" s="1097"/>
      <c r="P396" s="1097"/>
      <c r="Q396" s="1097"/>
      <c r="R396" s="1097">
        <f>+(M396/'Parametros Generales'!$C$9)</f>
        <v>2</v>
      </c>
      <c r="S396" s="390"/>
      <c r="T396" s="390"/>
      <c r="U396" s="390"/>
      <c r="V396" s="389"/>
      <c r="W396" s="32">
        <f>+R396*'Componentes T.H.'!$Q$9*'Parametros Generales'!$C$6</f>
        <v>10037014.142000001</v>
      </c>
      <c r="X396" s="32">
        <f>(+VLOOKUP(C396,'Transporte y Viaticos'!$B$87:$L$120,2,0)*'Parametros Generales'!$C$7*R396)*(2/3)</f>
        <v>2046506.3142373599</v>
      </c>
      <c r="Y396" s="417"/>
      <c r="Z396" s="417"/>
      <c r="AA396" s="417"/>
      <c r="AB396" s="417">
        <f>+M396*'Parametros Generales'!$C$6*'Parametros Generales'!$J$9</f>
        <v>3895272.7272727285</v>
      </c>
      <c r="AC396" s="417">
        <f>+H396*'Parametros Generales'!$J$10*'Parametros Generales'!$C$6*'Parametros Generales'!$C$11</f>
        <v>14738498.767401624</v>
      </c>
      <c r="AD396" s="417"/>
      <c r="AE396" s="417"/>
      <c r="AF396" s="417"/>
      <c r="AG396" s="417"/>
      <c r="AH396" s="417"/>
      <c r="AI396" s="417"/>
      <c r="AJ396" s="417"/>
      <c r="AK396" s="436"/>
      <c r="AL396" s="822"/>
    </row>
    <row r="397" spans="1:38" s="33" customFormat="1" hidden="1" outlineLevel="1">
      <c r="A397" s="1150"/>
      <c r="B397" s="821">
        <v>19</v>
      </c>
      <c r="C397" s="371" t="s">
        <v>259</v>
      </c>
      <c r="D397" s="31">
        <f>+VLOOKUP(E397,Codigos!$A$1:$B$1123,2,0)</f>
        <v>19455</v>
      </c>
      <c r="E397" s="1111" t="s">
        <v>1850</v>
      </c>
      <c r="F397" s="1103">
        <v>1</v>
      </c>
      <c r="G397" s="30">
        <v>198</v>
      </c>
      <c r="H397" s="1061">
        <f>CEILING(G397,'Parametros Generales'!$C$8)</f>
        <v>200</v>
      </c>
      <c r="I397" s="1057" t="s">
        <v>277</v>
      </c>
      <c r="J397" s="1058">
        <v>200</v>
      </c>
      <c r="K397" s="1070" t="str">
        <f t="shared" si="29"/>
        <v>Ok</v>
      </c>
      <c r="L397" s="1077">
        <f t="shared" si="30"/>
        <v>0</v>
      </c>
      <c r="M397" s="1090">
        <f>+H397/'Parametros Generales'!$C$8</f>
        <v>8</v>
      </c>
      <c r="N397" s="1097"/>
      <c r="O397" s="1097"/>
      <c r="P397" s="1097"/>
      <c r="Q397" s="1097"/>
      <c r="R397" s="1097">
        <f>+(M397/'Parametros Generales'!$C$9)</f>
        <v>2</v>
      </c>
      <c r="S397" s="390"/>
      <c r="T397" s="390"/>
      <c r="U397" s="390"/>
      <c r="V397" s="389"/>
      <c r="W397" s="32">
        <f>+R397*'Componentes T.H.'!$Q$9*'Parametros Generales'!$C$6</f>
        <v>10037014.142000001</v>
      </c>
      <c r="X397" s="32">
        <f>(+VLOOKUP(C397,'Transporte y Viaticos'!$B$87:$L$120,2,0)*'Parametros Generales'!$C$7*R397)*(2/3)</f>
        <v>2046506.3142373599</v>
      </c>
      <c r="Y397" s="417"/>
      <c r="Z397" s="417"/>
      <c r="AA397" s="417"/>
      <c r="AB397" s="417">
        <f>+M397*'Parametros Generales'!$C$6*'Parametros Generales'!$J$9</f>
        <v>3895272.7272727285</v>
      </c>
      <c r="AC397" s="417">
        <f>+H397*'Parametros Generales'!$J$10*'Parametros Generales'!$C$6*'Parametros Generales'!$C$11</f>
        <v>14738498.767401624</v>
      </c>
      <c r="AD397" s="417"/>
      <c r="AE397" s="417"/>
      <c r="AF397" s="417"/>
      <c r="AG397" s="417"/>
      <c r="AH397" s="417"/>
      <c r="AI397" s="417"/>
      <c r="AJ397" s="417"/>
      <c r="AK397" s="436"/>
      <c r="AL397" s="822"/>
    </row>
    <row r="398" spans="1:38" s="33" customFormat="1" hidden="1" outlineLevel="1">
      <c r="A398" s="1150"/>
      <c r="B398" s="821">
        <v>19</v>
      </c>
      <c r="C398" s="371" t="s">
        <v>259</v>
      </c>
      <c r="D398" s="31">
        <f>+VLOOKUP(E398,Codigos!$A$1:$B$1123,2,0)</f>
        <v>19473</v>
      </c>
      <c r="E398" s="1111" t="s">
        <v>1851</v>
      </c>
      <c r="F398" s="1103">
        <v>1</v>
      </c>
      <c r="G398" s="30">
        <v>198</v>
      </c>
      <c r="H398" s="1061">
        <f>CEILING(G398,'Parametros Generales'!$C$8)</f>
        <v>200</v>
      </c>
      <c r="I398" s="1057" t="s">
        <v>278</v>
      </c>
      <c r="J398" s="1058">
        <v>200</v>
      </c>
      <c r="K398" s="1070" t="str">
        <f t="shared" si="29"/>
        <v>Ok</v>
      </c>
      <c r="L398" s="1077">
        <f t="shared" si="30"/>
        <v>0</v>
      </c>
      <c r="M398" s="1090">
        <f>+H398/'Parametros Generales'!$C$8</f>
        <v>8</v>
      </c>
      <c r="N398" s="1097"/>
      <c r="O398" s="1097"/>
      <c r="P398" s="1097"/>
      <c r="Q398" s="1097"/>
      <c r="R398" s="1097">
        <f>+(M398/'Parametros Generales'!$C$9)</f>
        <v>2</v>
      </c>
      <c r="S398" s="390"/>
      <c r="T398" s="390"/>
      <c r="U398" s="390"/>
      <c r="V398" s="389"/>
      <c r="W398" s="32">
        <f>+R398*'Componentes T.H.'!$Q$9*'Parametros Generales'!$C$6</f>
        <v>10037014.142000001</v>
      </c>
      <c r="X398" s="32">
        <f>(+VLOOKUP(C398,'Transporte y Viaticos'!$B$87:$L$120,2,0)*'Parametros Generales'!$C$7*R398)*(2/3)</f>
        <v>2046506.3142373599</v>
      </c>
      <c r="Y398" s="417"/>
      <c r="Z398" s="417"/>
      <c r="AA398" s="417"/>
      <c r="AB398" s="417">
        <f>+M398*'Parametros Generales'!$C$6*'Parametros Generales'!$J$9</f>
        <v>3895272.7272727285</v>
      </c>
      <c r="AC398" s="417">
        <f>+H398*'Parametros Generales'!$J$10*'Parametros Generales'!$C$6*'Parametros Generales'!$C$11</f>
        <v>14738498.767401624</v>
      </c>
      <c r="AD398" s="417"/>
      <c r="AE398" s="417"/>
      <c r="AF398" s="417"/>
      <c r="AG398" s="417"/>
      <c r="AH398" s="417"/>
      <c r="AI398" s="417"/>
      <c r="AJ398" s="417"/>
      <c r="AK398" s="436"/>
      <c r="AL398" s="822"/>
    </row>
    <row r="399" spans="1:38" s="33" customFormat="1" hidden="1" outlineLevel="1">
      <c r="A399" s="1150"/>
      <c r="B399" s="821">
        <v>19</v>
      </c>
      <c r="C399" s="371" t="s">
        <v>259</v>
      </c>
      <c r="D399" s="31">
        <f>+VLOOKUP(E399,Codigos!$A$1:$B$1123,2,0)</f>
        <v>19517</v>
      </c>
      <c r="E399" s="1111" t="s">
        <v>1852</v>
      </c>
      <c r="F399" s="1103">
        <v>1</v>
      </c>
      <c r="G399" s="30">
        <v>198</v>
      </c>
      <c r="H399" s="1061">
        <f>CEILING(G399,'Parametros Generales'!$C$8)</f>
        <v>200</v>
      </c>
      <c r="I399" s="1057" t="s">
        <v>279</v>
      </c>
      <c r="J399" s="1058">
        <v>200</v>
      </c>
      <c r="K399" s="1070" t="str">
        <f t="shared" si="29"/>
        <v>Ok</v>
      </c>
      <c r="L399" s="1077">
        <f t="shared" si="30"/>
        <v>0</v>
      </c>
      <c r="M399" s="1090">
        <f>+H399/'Parametros Generales'!$C$8</f>
        <v>8</v>
      </c>
      <c r="N399" s="1097"/>
      <c r="O399" s="1097"/>
      <c r="P399" s="1097"/>
      <c r="Q399" s="1097"/>
      <c r="R399" s="1097">
        <f>+(M399/'Parametros Generales'!$C$9)</f>
        <v>2</v>
      </c>
      <c r="S399" s="390"/>
      <c r="T399" s="390"/>
      <c r="U399" s="390"/>
      <c r="V399" s="389"/>
      <c r="W399" s="32">
        <f>+R399*'Componentes T.H.'!$Q$9*'Parametros Generales'!$C$6</f>
        <v>10037014.142000001</v>
      </c>
      <c r="X399" s="32">
        <f>(+VLOOKUP(C399,'Transporte y Viaticos'!$B$87:$L$120,2,0)*'Parametros Generales'!$C$7*R399)*(2/3)</f>
        <v>2046506.3142373599</v>
      </c>
      <c r="Y399" s="417"/>
      <c r="Z399" s="417"/>
      <c r="AA399" s="417"/>
      <c r="AB399" s="417">
        <f>+M399*'Parametros Generales'!$C$6*'Parametros Generales'!$J$9</f>
        <v>3895272.7272727285</v>
      </c>
      <c r="AC399" s="417">
        <f>+H399*'Parametros Generales'!$J$10*'Parametros Generales'!$C$6*'Parametros Generales'!$C$11</f>
        <v>14738498.767401624</v>
      </c>
      <c r="AD399" s="417"/>
      <c r="AE399" s="417"/>
      <c r="AF399" s="417"/>
      <c r="AG399" s="417"/>
      <c r="AH399" s="417"/>
      <c r="AI399" s="417"/>
      <c r="AJ399" s="417"/>
      <c r="AK399" s="436"/>
      <c r="AL399" s="822"/>
    </row>
    <row r="400" spans="1:38" s="33" customFormat="1" hidden="1" outlineLevel="1">
      <c r="A400" s="1150"/>
      <c r="B400" s="821">
        <v>19</v>
      </c>
      <c r="C400" s="371" t="s">
        <v>259</v>
      </c>
      <c r="D400" s="31">
        <f>+VLOOKUP(E400,Codigos!$A$1:$B$1123,2,0)</f>
        <v>19532</v>
      </c>
      <c r="E400" s="1111" t="s">
        <v>1853</v>
      </c>
      <c r="F400" s="1103">
        <v>1</v>
      </c>
      <c r="G400" s="30">
        <v>198</v>
      </c>
      <c r="H400" s="1061">
        <f>CEILING(G400,'Parametros Generales'!$C$8)</f>
        <v>200</v>
      </c>
      <c r="I400" s="1057" t="s">
        <v>280</v>
      </c>
      <c r="J400" s="1058">
        <v>200</v>
      </c>
      <c r="K400" s="1070" t="str">
        <f t="shared" si="29"/>
        <v>Ok</v>
      </c>
      <c r="L400" s="1077">
        <f t="shared" si="30"/>
        <v>0</v>
      </c>
      <c r="M400" s="1090">
        <f>+H400/'Parametros Generales'!$C$8</f>
        <v>8</v>
      </c>
      <c r="N400" s="1097"/>
      <c r="O400" s="1097"/>
      <c r="P400" s="1097"/>
      <c r="Q400" s="1097"/>
      <c r="R400" s="1097">
        <f>+(M400/'Parametros Generales'!$C$9)</f>
        <v>2</v>
      </c>
      <c r="S400" s="390"/>
      <c r="T400" s="390"/>
      <c r="U400" s="390"/>
      <c r="V400" s="389"/>
      <c r="W400" s="32">
        <f>+R400*'Componentes T.H.'!$Q$9*'Parametros Generales'!$C$6</f>
        <v>10037014.142000001</v>
      </c>
      <c r="X400" s="32">
        <f>(+VLOOKUP(C400,'Transporte y Viaticos'!$B$87:$L$120,2,0)*'Parametros Generales'!$C$7*R400)*(2/3)</f>
        <v>2046506.3142373599</v>
      </c>
      <c r="Y400" s="417"/>
      <c r="Z400" s="417"/>
      <c r="AA400" s="417"/>
      <c r="AB400" s="417">
        <f>+M400*'Parametros Generales'!$C$6*'Parametros Generales'!$J$9</f>
        <v>3895272.7272727285</v>
      </c>
      <c r="AC400" s="417">
        <f>+H400*'Parametros Generales'!$J$10*'Parametros Generales'!$C$6*'Parametros Generales'!$C$11</f>
        <v>14738498.767401624</v>
      </c>
      <c r="AD400" s="417"/>
      <c r="AE400" s="417"/>
      <c r="AF400" s="417"/>
      <c r="AG400" s="417"/>
      <c r="AH400" s="417"/>
      <c r="AI400" s="417"/>
      <c r="AJ400" s="417"/>
      <c r="AK400" s="436"/>
      <c r="AL400" s="822"/>
    </row>
    <row r="401" spans="1:38" s="33" customFormat="1" hidden="1" outlineLevel="1">
      <c r="A401" s="1150"/>
      <c r="B401" s="821">
        <v>19</v>
      </c>
      <c r="C401" s="371" t="s">
        <v>259</v>
      </c>
      <c r="D401" s="31">
        <f>+VLOOKUP(E401,Codigos!$A$1:$B$1123,2,0)</f>
        <v>19533</v>
      </c>
      <c r="E401" s="1111" t="s">
        <v>1854</v>
      </c>
      <c r="F401" s="1103">
        <v>1</v>
      </c>
      <c r="G401" s="30">
        <v>198</v>
      </c>
      <c r="H401" s="1061">
        <f>CEILING(G401,'Parametros Generales'!$C$8)</f>
        <v>200</v>
      </c>
      <c r="I401" s="1057" t="s">
        <v>281</v>
      </c>
      <c r="J401" s="1058">
        <v>200</v>
      </c>
      <c r="K401" s="1070" t="str">
        <f t="shared" si="29"/>
        <v>Ok</v>
      </c>
      <c r="L401" s="1077">
        <f t="shared" si="30"/>
        <v>0</v>
      </c>
      <c r="M401" s="1090">
        <f>+H401/'Parametros Generales'!$C$8</f>
        <v>8</v>
      </c>
      <c r="N401" s="1097"/>
      <c r="O401" s="1097"/>
      <c r="P401" s="1097"/>
      <c r="Q401" s="1097"/>
      <c r="R401" s="1097">
        <f>+(M401/'Parametros Generales'!$C$9)</f>
        <v>2</v>
      </c>
      <c r="S401" s="390"/>
      <c r="T401" s="390"/>
      <c r="U401" s="390"/>
      <c r="V401" s="389"/>
      <c r="W401" s="32">
        <f>+R401*'Componentes T.H.'!$Q$9*'Parametros Generales'!$C$6</f>
        <v>10037014.142000001</v>
      </c>
      <c r="X401" s="32">
        <f>(+VLOOKUP(C401,'Transporte y Viaticos'!$B$87:$L$120,2,0)*'Parametros Generales'!$C$7*R401)*(2/3)</f>
        <v>2046506.3142373599</v>
      </c>
      <c r="Y401" s="417"/>
      <c r="Z401" s="417"/>
      <c r="AA401" s="417"/>
      <c r="AB401" s="417">
        <f>+M401*'Parametros Generales'!$C$6*'Parametros Generales'!$J$9</f>
        <v>3895272.7272727285</v>
      </c>
      <c r="AC401" s="417">
        <f>+H401*'Parametros Generales'!$J$10*'Parametros Generales'!$C$6*'Parametros Generales'!$C$11</f>
        <v>14738498.767401624</v>
      </c>
      <c r="AD401" s="417"/>
      <c r="AE401" s="417"/>
      <c r="AF401" s="417"/>
      <c r="AG401" s="417"/>
      <c r="AH401" s="417"/>
      <c r="AI401" s="417"/>
      <c r="AJ401" s="417"/>
      <c r="AK401" s="436"/>
      <c r="AL401" s="822"/>
    </row>
    <row r="402" spans="1:38" s="33" customFormat="1" hidden="1" outlineLevel="1">
      <c r="A402" s="1150"/>
      <c r="B402" s="821">
        <v>19</v>
      </c>
      <c r="C402" s="371" t="s">
        <v>259</v>
      </c>
      <c r="D402" s="31">
        <f>+VLOOKUP(E402,Codigos!$A$1:$B$1123,2,0)</f>
        <v>19548</v>
      </c>
      <c r="E402" s="1111" t="s">
        <v>1855</v>
      </c>
      <c r="F402" s="1103">
        <v>1</v>
      </c>
      <c r="G402" s="30">
        <v>198</v>
      </c>
      <c r="H402" s="1061">
        <f>CEILING(G402,'Parametros Generales'!$C$8)</f>
        <v>200</v>
      </c>
      <c r="I402" s="1057" t="s">
        <v>282</v>
      </c>
      <c r="J402" s="1058">
        <v>200</v>
      </c>
      <c r="K402" s="1070" t="str">
        <f t="shared" si="29"/>
        <v>Ok</v>
      </c>
      <c r="L402" s="1077">
        <f t="shared" si="30"/>
        <v>0</v>
      </c>
      <c r="M402" s="1090">
        <f>+H402/'Parametros Generales'!$C$8</f>
        <v>8</v>
      </c>
      <c r="N402" s="1097"/>
      <c r="O402" s="1097"/>
      <c r="P402" s="1097"/>
      <c r="Q402" s="1097"/>
      <c r="R402" s="1097">
        <f>+(M402/'Parametros Generales'!$C$9)</f>
        <v>2</v>
      </c>
      <c r="S402" s="390"/>
      <c r="T402" s="390"/>
      <c r="U402" s="390"/>
      <c r="V402" s="389"/>
      <c r="W402" s="32">
        <f>+R402*'Componentes T.H.'!$Q$9*'Parametros Generales'!$C$6</f>
        <v>10037014.142000001</v>
      </c>
      <c r="X402" s="32">
        <f>(+VLOOKUP(C402,'Transporte y Viaticos'!$B$87:$L$120,2,0)*'Parametros Generales'!$C$7*R402)*(2/3)</f>
        <v>2046506.3142373599</v>
      </c>
      <c r="Y402" s="417"/>
      <c r="Z402" s="417"/>
      <c r="AA402" s="417"/>
      <c r="AB402" s="417">
        <f>+M402*'Parametros Generales'!$C$6*'Parametros Generales'!$J$9</f>
        <v>3895272.7272727285</v>
      </c>
      <c r="AC402" s="417">
        <f>+H402*'Parametros Generales'!$J$10*'Parametros Generales'!$C$6*'Parametros Generales'!$C$11</f>
        <v>14738498.767401624</v>
      </c>
      <c r="AD402" s="417"/>
      <c r="AE402" s="417"/>
      <c r="AF402" s="417"/>
      <c r="AG402" s="417"/>
      <c r="AH402" s="417"/>
      <c r="AI402" s="417"/>
      <c r="AJ402" s="417"/>
      <c r="AK402" s="436"/>
      <c r="AL402" s="822"/>
    </row>
    <row r="403" spans="1:38" s="33" customFormat="1" hidden="1" outlineLevel="1">
      <c r="A403" s="1150"/>
      <c r="B403" s="821">
        <v>19</v>
      </c>
      <c r="C403" s="371" t="s">
        <v>259</v>
      </c>
      <c r="D403" s="31">
        <f>+VLOOKUP(E403,Codigos!$A$1:$B$1123,2,0)</f>
        <v>19573</v>
      </c>
      <c r="E403" s="1111" t="s">
        <v>1856</v>
      </c>
      <c r="F403" s="1103">
        <v>1</v>
      </c>
      <c r="G403" s="30">
        <v>198</v>
      </c>
      <c r="H403" s="1061">
        <f>CEILING(G403,'Parametros Generales'!$C$8)</f>
        <v>200</v>
      </c>
      <c r="I403" s="1057" t="s">
        <v>283</v>
      </c>
      <c r="J403" s="1058">
        <v>200</v>
      </c>
      <c r="K403" s="1070" t="str">
        <f t="shared" si="29"/>
        <v>Ok</v>
      </c>
      <c r="L403" s="1077">
        <f t="shared" si="30"/>
        <v>0</v>
      </c>
      <c r="M403" s="1090">
        <f>+H403/'Parametros Generales'!$C$8</f>
        <v>8</v>
      </c>
      <c r="N403" s="1097"/>
      <c r="O403" s="1097"/>
      <c r="P403" s="1097"/>
      <c r="Q403" s="1097"/>
      <c r="R403" s="1097">
        <f>+(M403/'Parametros Generales'!$C$9)</f>
        <v>2</v>
      </c>
      <c r="S403" s="390"/>
      <c r="T403" s="390"/>
      <c r="U403" s="390"/>
      <c r="V403" s="389"/>
      <c r="W403" s="32">
        <f>+R403*'Componentes T.H.'!$Q$9*'Parametros Generales'!$C$6</f>
        <v>10037014.142000001</v>
      </c>
      <c r="X403" s="32">
        <f>(+VLOOKUP(C403,'Transporte y Viaticos'!$B$87:$L$120,2,0)*'Parametros Generales'!$C$7*R403)*(2/3)</f>
        <v>2046506.3142373599</v>
      </c>
      <c r="Y403" s="417"/>
      <c r="Z403" s="417"/>
      <c r="AA403" s="417"/>
      <c r="AB403" s="417">
        <f>+M403*'Parametros Generales'!$C$6*'Parametros Generales'!$J$9</f>
        <v>3895272.7272727285</v>
      </c>
      <c r="AC403" s="417">
        <f>+H403*'Parametros Generales'!$J$10*'Parametros Generales'!$C$6*'Parametros Generales'!$C$11</f>
        <v>14738498.767401624</v>
      </c>
      <c r="AD403" s="417"/>
      <c r="AE403" s="417"/>
      <c r="AF403" s="417"/>
      <c r="AG403" s="417"/>
      <c r="AH403" s="417"/>
      <c r="AI403" s="417"/>
      <c r="AJ403" s="417"/>
      <c r="AK403" s="436"/>
      <c r="AL403" s="822"/>
    </row>
    <row r="404" spans="1:38" s="33" customFormat="1" hidden="1" outlineLevel="1">
      <c r="A404" s="1150"/>
      <c r="B404" s="821">
        <v>19</v>
      </c>
      <c r="C404" s="371" t="s">
        <v>259</v>
      </c>
      <c r="D404" s="31">
        <f>+VLOOKUP(E404,Codigos!$A$1:$B$1123,2,0)</f>
        <v>19698</v>
      </c>
      <c r="E404" s="1111" t="s">
        <v>1857</v>
      </c>
      <c r="F404" s="1103">
        <v>1</v>
      </c>
      <c r="G404" s="30">
        <v>198</v>
      </c>
      <c r="H404" s="1061">
        <f>CEILING(G404,'Parametros Generales'!$C$8)</f>
        <v>200</v>
      </c>
      <c r="I404" s="1057" t="s">
        <v>284</v>
      </c>
      <c r="J404" s="1058">
        <v>200</v>
      </c>
      <c r="K404" s="1070" t="str">
        <f t="shared" si="29"/>
        <v>Ok</v>
      </c>
      <c r="L404" s="1077">
        <f t="shared" si="30"/>
        <v>0</v>
      </c>
      <c r="M404" s="1090">
        <f>+H404/'Parametros Generales'!$C$8</f>
        <v>8</v>
      </c>
      <c r="N404" s="1097"/>
      <c r="O404" s="1097"/>
      <c r="P404" s="1097"/>
      <c r="Q404" s="1097"/>
      <c r="R404" s="1097">
        <f>+(M404/'Parametros Generales'!$C$9)</f>
        <v>2</v>
      </c>
      <c r="S404" s="390"/>
      <c r="T404" s="390"/>
      <c r="U404" s="390"/>
      <c r="V404" s="389"/>
      <c r="W404" s="32">
        <f>+R404*'Componentes T.H.'!$Q$9*'Parametros Generales'!$C$6</f>
        <v>10037014.142000001</v>
      </c>
      <c r="X404" s="32">
        <f>(+VLOOKUP(C404,'Transporte y Viaticos'!$B$87:$L$120,2,0)*'Parametros Generales'!$C$7*R404)*(2/3)</f>
        <v>2046506.3142373599</v>
      </c>
      <c r="Y404" s="417"/>
      <c r="Z404" s="417"/>
      <c r="AA404" s="417"/>
      <c r="AB404" s="417">
        <f>+M404*'Parametros Generales'!$C$6*'Parametros Generales'!$J$9</f>
        <v>3895272.7272727285</v>
      </c>
      <c r="AC404" s="417">
        <f>+H404*'Parametros Generales'!$J$10*'Parametros Generales'!$C$6*'Parametros Generales'!$C$11</f>
        <v>14738498.767401624</v>
      </c>
      <c r="AD404" s="417"/>
      <c r="AE404" s="417"/>
      <c r="AF404" s="417"/>
      <c r="AG404" s="417"/>
      <c r="AH404" s="417"/>
      <c r="AI404" s="417"/>
      <c r="AJ404" s="417"/>
      <c r="AK404" s="436"/>
      <c r="AL404" s="822"/>
    </row>
    <row r="405" spans="1:38" s="33" customFormat="1" hidden="1" outlineLevel="1">
      <c r="A405" s="1150"/>
      <c r="B405" s="821">
        <v>19</v>
      </c>
      <c r="C405" s="371" t="s">
        <v>259</v>
      </c>
      <c r="D405" s="31">
        <f>+VLOOKUP(E405,Codigos!$A$1:$B$1123,2,0)</f>
        <v>19743</v>
      </c>
      <c r="E405" s="1111" t="s">
        <v>1858</v>
      </c>
      <c r="F405" s="1103">
        <v>1</v>
      </c>
      <c r="G405" s="30">
        <v>198</v>
      </c>
      <c r="H405" s="1061">
        <f>CEILING(G405,'Parametros Generales'!$C$8)</f>
        <v>200</v>
      </c>
      <c r="I405" s="1057" t="s">
        <v>285</v>
      </c>
      <c r="J405" s="1058">
        <v>200</v>
      </c>
      <c r="K405" s="1070" t="str">
        <f t="shared" si="29"/>
        <v>Ok</v>
      </c>
      <c r="L405" s="1077">
        <f t="shared" si="30"/>
        <v>0</v>
      </c>
      <c r="M405" s="1090">
        <f>+H405/'Parametros Generales'!$C$8</f>
        <v>8</v>
      </c>
      <c r="N405" s="1097"/>
      <c r="O405" s="1097"/>
      <c r="P405" s="1097"/>
      <c r="Q405" s="1097"/>
      <c r="R405" s="1097">
        <f>+(M405/'Parametros Generales'!$C$9)</f>
        <v>2</v>
      </c>
      <c r="S405" s="390"/>
      <c r="T405" s="390"/>
      <c r="U405" s="390"/>
      <c r="V405" s="389"/>
      <c r="W405" s="32">
        <f>+R405*'Componentes T.H.'!$Q$9*'Parametros Generales'!$C$6</f>
        <v>10037014.142000001</v>
      </c>
      <c r="X405" s="32">
        <f>(+VLOOKUP(C405,'Transporte y Viaticos'!$B$87:$L$120,2,0)*'Parametros Generales'!$C$7*R405)*(2/3)</f>
        <v>2046506.3142373599</v>
      </c>
      <c r="Y405" s="417"/>
      <c r="Z405" s="417"/>
      <c r="AA405" s="417"/>
      <c r="AB405" s="417">
        <f>+M405*'Parametros Generales'!$C$6*'Parametros Generales'!$J$9</f>
        <v>3895272.7272727285</v>
      </c>
      <c r="AC405" s="417">
        <f>+H405*'Parametros Generales'!$J$10*'Parametros Generales'!$C$6*'Parametros Generales'!$C$11</f>
        <v>14738498.767401624</v>
      </c>
      <c r="AD405" s="417"/>
      <c r="AE405" s="417"/>
      <c r="AF405" s="417"/>
      <c r="AG405" s="417"/>
      <c r="AH405" s="417"/>
      <c r="AI405" s="417"/>
      <c r="AJ405" s="417"/>
      <c r="AK405" s="436"/>
      <c r="AL405" s="822"/>
    </row>
    <row r="406" spans="1:38" s="33" customFormat="1" hidden="1" outlineLevel="1">
      <c r="A406" s="1150"/>
      <c r="B406" s="821">
        <v>19</v>
      </c>
      <c r="C406" s="371" t="s">
        <v>259</v>
      </c>
      <c r="D406" s="31">
        <f>+VLOOKUP(E406,Codigos!$A$1:$B$1123,2,0)</f>
        <v>19760</v>
      </c>
      <c r="E406" s="1111" t="s">
        <v>1859</v>
      </c>
      <c r="F406" s="1103">
        <v>1</v>
      </c>
      <c r="G406" s="30">
        <v>198</v>
      </c>
      <c r="H406" s="1061">
        <f>CEILING(G406,'Parametros Generales'!$C$8)</f>
        <v>200</v>
      </c>
      <c r="I406" s="1057" t="s">
        <v>286</v>
      </c>
      <c r="J406" s="1058">
        <v>200</v>
      </c>
      <c r="K406" s="1070" t="str">
        <f t="shared" si="29"/>
        <v>Ok</v>
      </c>
      <c r="L406" s="1077">
        <f t="shared" si="30"/>
        <v>0</v>
      </c>
      <c r="M406" s="1090">
        <f>+H406/'Parametros Generales'!$C$8</f>
        <v>8</v>
      </c>
      <c r="N406" s="1097"/>
      <c r="O406" s="1097"/>
      <c r="P406" s="1097"/>
      <c r="Q406" s="1097"/>
      <c r="R406" s="1097">
        <f>+(M406/'Parametros Generales'!$C$9)</f>
        <v>2</v>
      </c>
      <c r="S406" s="390"/>
      <c r="T406" s="390"/>
      <c r="U406" s="390"/>
      <c r="V406" s="389"/>
      <c r="W406" s="32">
        <f>+R406*'Componentes T.H.'!$Q$9*'Parametros Generales'!$C$6</f>
        <v>10037014.142000001</v>
      </c>
      <c r="X406" s="32">
        <f>(+VLOOKUP(C406,'Transporte y Viaticos'!$B$87:$L$120,2,0)*'Parametros Generales'!$C$7*R406)*(2/3)</f>
        <v>2046506.3142373599</v>
      </c>
      <c r="Y406" s="417"/>
      <c r="Z406" s="417"/>
      <c r="AA406" s="417"/>
      <c r="AB406" s="417">
        <f>+M406*'Parametros Generales'!$C$6*'Parametros Generales'!$J$9</f>
        <v>3895272.7272727285</v>
      </c>
      <c r="AC406" s="417">
        <f>+H406*'Parametros Generales'!$J$10*'Parametros Generales'!$C$6*'Parametros Generales'!$C$11</f>
        <v>14738498.767401624</v>
      </c>
      <c r="AD406" s="417"/>
      <c r="AE406" s="417"/>
      <c r="AF406" s="417"/>
      <c r="AG406" s="417"/>
      <c r="AH406" s="417"/>
      <c r="AI406" s="417"/>
      <c r="AJ406" s="417"/>
      <c r="AK406" s="436"/>
      <c r="AL406" s="822"/>
    </row>
    <row r="407" spans="1:38" s="33" customFormat="1" hidden="1" outlineLevel="1">
      <c r="A407" s="1150"/>
      <c r="B407" s="821">
        <v>19</v>
      </c>
      <c r="C407" s="371" t="s">
        <v>259</v>
      </c>
      <c r="D407" s="31">
        <f>+VLOOKUP(E407,Codigos!$A$1:$B$1123,2,0)</f>
        <v>19780</v>
      </c>
      <c r="E407" s="1111" t="s">
        <v>1860</v>
      </c>
      <c r="F407" s="1103">
        <v>1</v>
      </c>
      <c r="G407" s="30">
        <v>198</v>
      </c>
      <c r="H407" s="1061">
        <f>CEILING(G407,'Parametros Generales'!$C$8)</f>
        <v>200</v>
      </c>
      <c r="I407" s="1057" t="s">
        <v>287</v>
      </c>
      <c r="J407" s="1058">
        <v>200</v>
      </c>
      <c r="K407" s="1070" t="str">
        <f t="shared" si="29"/>
        <v>Ok</v>
      </c>
      <c r="L407" s="1077">
        <f t="shared" si="30"/>
        <v>0</v>
      </c>
      <c r="M407" s="1090">
        <f>+H407/'Parametros Generales'!$C$8</f>
        <v>8</v>
      </c>
      <c r="N407" s="1097"/>
      <c r="O407" s="1097"/>
      <c r="P407" s="1097"/>
      <c r="Q407" s="1097"/>
      <c r="R407" s="1097">
        <f>+(M407/'Parametros Generales'!$C$9)</f>
        <v>2</v>
      </c>
      <c r="S407" s="390"/>
      <c r="T407" s="390"/>
      <c r="U407" s="390"/>
      <c r="V407" s="389"/>
      <c r="W407" s="32">
        <f>+R407*'Componentes T.H.'!$Q$9*'Parametros Generales'!$C$6</f>
        <v>10037014.142000001</v>
      </c>
      <c r="X407" s="32">
        <f>(+VLOOKUP(C407,'Transporte y Viaticos'!$B$87:$L$120,2,0)*'Parametros Generales'!$C$7*R407)*(2/3)</f>
        <v>2046506.3142373599</v>
      </c>
      <c r="Y407" s="417"/>
      <c r="Z407" s="417"/>
      <c r="AA407" s="417"/>
      <c r="AB407" s="417">
        <f>+M407*'Parametros Generales'!$C$6*'Parametros Generales'!$J$9</f>
        <v>3895272.7272727285</v>
      </c>
      <c r="AC407" s="417">
        <f>+H407*'Parametros Generales'!$J$10*'Parametros Generales'!$C$6*'Parametros Generales'!$C$11</f>
        <v>14738498.767401624</v>
      </c>
      <c r="AD407" s="417"/>
      <c r="AE407" s="417"/>
      <c r="AF407" s="417"/>
      <c r="AG407" s="417"/>
      <c r="AH407" s="417"/>
      <c r="AI407" s="417"/>
      <c r="AJ407" s="417"/>
      <c r="AK407" s="436"/>
      <c r="AL407" s="822"/>
    </row>
    <row r="408" spans="1:38" s="33" customFormat="1" hidden="1" outlineLevel="1">
      <c r="A408" s="1150"/>
      <c r="B408" s="821">
        <v>19</v>
      </c>
      <c r="C408" s="371" t="s">
        <v>259</v>
      </c>
      <c r="D408" s="31">
        <f>+VLOOKUP(E408,Codigos!$A$1:$B$1123,2,0)</f>
        <v>19807</v>
      </c>
      <c r="E408" s="1111" t="s">
        <v>1861</v>
      </c>
      <c r="F408" s="1103">
        <v>1</v>
      </c>
      <c r="G408" s="30">
        <v>198</v>
      </c>
      <c r="H408" s="1061">
        <f>CEILING(G408,'Parametros Generales'!$C$8)</f>
        <v>200</v>
      </c>
      <c r="I408" s="1057" t="s">
        <v>288</v>
      </c>
      <c r="J408" s="1058">
        <v>200</v>
      </c>
      <c r="K408" s="1070" t="str">
        <f t="shared" si="29"/>
        <v>Ok</v>
      </c>
      <c r="L408" s="1077">
        <f t="shared" si="30"/>
        <v>0</v>
      </c>
      <c r="M408" s="1090">
        <f>+H408/'Parametros Generales'!$C$8</f>
        <v>8</v>
      </c>
      <c r="N408" s="1097"/>
      <c r="O408" s="1097"/>
      <c r="P408" s="1097"/>
      <c r="Q408" s="1097"/>
      <c r="R408" s="1097">
        <f>+(M408/'Parametros Generales'!$C$9)</f>
        <v>2</v>
      </c>
      <c r="S408" s="390"/>
      <c r="T408" s="390"/>
      <c r="U408" s="390"/>
      <c r="V408" s="389"/>
      <c r="W408" s="32">
        <f>+R408*'Componentes T.H.'!$Q$9*'Parametros Generales'!$C$6</f>
        <v>10037014.142000001</v>
      </c>
      <c r="X408" s="32">
        <f>(+VLOOKUP(C408,'Transporte y Viaticos'!$B$87:$L$120,2,0)*'Parametros Generales'!$C$7*R408)*(2/3)</f>
        <v>2046506.3142373599</v>
      </c>
      <c r="Y408" s="417"/>
      <c r="Z408" s="417"/>
      <c r="AA408" s="417"/>
      <c r="AB408" s="417">
        <f>+M408*'Parametros Generales'!$C$6*'Parametros Generales'!$J$9</f>
        <v>3895272.7272727285</v>
      </c>
      <c r="AC408" s="417">
        <f>+H408*'Parametros Generales'!$J$10*'Parametros Generales'!$C$6*'Parametros Generales'!$C$11</f>
        <v>14738498.767401624</v>
      </c>
      <c r="AD408" s="417"/>
      <c r="AE408" s="417"/>
      <c r="AF408" s="417"/>
      <c r="AG408" s="417"/>
      <c r="AH408" s="417"/>
      <c r="AI408" s="417"/>
      <c r="AJ408" s="417"/>
      <c r="AK408" s="436"/>
      <c r="AL408" s="822"/>
    </row>
    <row r="409" spans="1:38" s="33" customFormat="1" hidden="1" outlineLevel="1">
      <c r="A409" s="1150"/>
      <c r="B409" s="821">
        <v>19</v>
      </c>
      <c r="C409" s="371" t="s">
        <v>259</v>
      </c>
      <c r="D409" s="31">
        <f>+VLOOKUP(E409,Codigos!$A$1:$B$1123,2,0)</f>
        <v>19809</v>
      </c>
      <c r="E409" s="1111" t="s">
        <v>1862</v>
      </c>
      <c r="F409" s="1103">
        <v>1</v>
      </c>
      <c r="G409" s="30">
        <v>198</v>
      </c>
      <c r="H409" s="1061">
        <f>CEILING(G409,'Parametros Generales'!$C$8)</f>
        <v>200</v>
      </c>
      <c r="I409" s="1057" t="s">
        <v>289</v>
      </c>
      <c r="J409" s="1058">
        <v>200</v>
      </c>
      <c r="K409" s="1070" t="str">
        <f t="shared" si="29"/>
        <v>Ok</v>
      </c>
      <c r="L409" s="1077">
        <f t="shared" si="30"/>
        <v>0</v>
      </c>
      <c r="M409" s="1090">
        <f>+H409/'Parametros Generales'!$C$8</f>
        <v>8</v>
      </c>
      <c r="N409" s="1097"/>
      <c r="O409" s="1097"/>
      <c r="P409" s="1097"/>
      <c r="Q409" s="1097"/>
      <c r="R409" s="1097">
        <f>+(M409/'Parametros Generales'!$C$9)</f>
        <v>2</v>
      </c>
      <c r="S409" s="390"/>
      <c r="T409" s="390"/>
      <c r="U409" s="390"/>
      <c r="V409" s="389"/>
      <c r="W409" s="32">
        <f>+R409*'Componentes T.H.'!$Q$9*'Parametros Generales'!$C$6</f>
        <v>10037014.142000001</v>
      </c>
      <c r="X409" s="32">
        <f>(+VLOOKUP(C409,'Transporte y Viaticos'!$B$87:$L$120,2,0)*'Parametros Generales'!$C$7*R409)*(2/3)</f>
        <v>2046506.3142373599</v>
      </c>
      <c r="Y409" s="417"/>
      <c r="Z409" s="417"/>
      <c r="AA409" s="417"/>
      <c r="AB409" s="417">
        <f>+M409*'Parametros Generales'!$C$6*'Parametros Generales'!$J$9</f>
        <v>3895272.7272727285</v>
      </c>
      <c r="AC409" s="417">
        <f>+H409*'Parametros Generales'!$J$10*'Parametros Generales'!$C$6*'Parametros Generales'!$C$11</f>
        <v>14738498.767401624</v>
      </c>
      <c r="AD409" s="417"/>
      <c r="AE409" s="417"/>
      <c r="AF409" s="417"/>
      <c r="AG409" s="417"/>
      <c r="AH409" s="417"/>
      <c r="AI409" s="417"/>
      <c r="AJ409" s="417"/>
      <c r="AK409" s="436"/>
      <c r="AL409" s="822"/>
    </row>
    <row r="410" spans="1:38" s="33" customFormat="1" hidden="1" outlineLevel="1">
      <c r="A410" s="1150"/>
      <c r="B410" s="821">
        <v>19</v>
      </c>
      <c r="C410" s="371" t="s">
        <v>259</v>
      </c>
      <c r="D410" s="31">
        <f>+VLOOKUP(E410,Codigos!$A$1:$B$1123,2,0)</f>
        <v>19821</v>
      </c>
      <c r="E410" s="1111" t="s">
        <v>1863</v>
      </c>
      <c r="F410" s="1103">
        <v>1</v>
      </c>
      <c r="G410" s="30">
        <v>198</v>
      </c>
      <c r="H410" s="1061">
        <f>CEILING(G410,'Parametros Generales'!$C$8)</f>
        <v>200</v>
      </c>
      <c r="I410" s="1057" t="s">
        <v>290</v>
      </c>
      <c r="J410" s="1058">
        <v>200</v>
      </c>
      <c r="K410" s="1070" t="str">
        <f t="shared" si="29"/>
        <v>Ok</v>
      </c>
      <c r="L410" s="1077">
        <f t="shared" si="30"/>
        <v>0</v>
      </c>
      <c r="M410" s="1090">
        <f>+H410/'Parametros Generales'!$C$8</f>
        <v>8</v>
      </c>
      <c r="N410" s="1097"/>
      <c r="O410" s="1097"/>
      <c r="P410" s="1097"/>
      <c r="Q410" s="1097"/>
      <c r="R410" s="1097">
        <f>+(M410/'Parametros Generales'!$C$9)</f>
        <v>2</v>
      </c>
      <c r="S410" s="390"/>
      <c r="T410" s="390"/>
      <c r="U410" s="390"/>
      <c r="V410" s="389"/>
      <c r="W410" s="32">
        <f>+R410*'Componentes T.H.'!$Q$9*'Parametros Generales'!$C$6</f>
        <v>10037014.142000001</v>
      </c>
      <c r="X410" s="32">
        <f>(+VLOOKUP(C410,'Transporte y Viaticos'!$B$87:$L$120,2,0)*'Parametros Generales'!$C$7*R410)*(2/3)</f>
        <v>2046506.3142373599</v>
      </c>
      <c r="Y410" s="417"/>
      <c r="Z410" s="417"/>
      <c r="AA410" s="417"/>
      <c r="AB410" s="417">
        <f>+M410*'Parametros Generales'!$C$6*'Parametros Generales'!$J$9</f>
        <v>3895272.7272727285</v>
      </c>
      <c r="AC410" s="417">
        <f>+H410*'Parametros Generales'!$J$10*'Parametros Generales'!$C$6*'Parametros Generales'!$C$11</f>
        <v>14738498.767401624</v>
      </c>
      <c r="AD410" s="417"/>
      <c r="AE410" s="417"/>
      <c r="AF410" s="417"/>
      <c r="AG410" s="417"/>
      <c r="AH410" s="417"/>
      <c r="AI410" s="417"/>
      <c r="AJ410" s="417"/>
      <c r="AK410" s="436"/>
      <c r="AL410" s="822"/>
    </row>
    <row r="411" spans="1:38" s="33" customFormat="1" hidden="1" outlineLevel="1">
      <c r="A411" s="1150"/>
      <c r="B411" s="821">
        <v>19</v>
      </c>
      <c r="C411" s="371" t="s">
        <v>259</v>
      </c>
      <c r="D411" s="31">
        <f>+VLOOKUP(E411,Codigos!$A$1:$B$1123,2,0)</f>
        <v>19824</v>
      </c>
      <c r="E411" s="1111" t="s">
        <v>1864</v>
      </c>
      <c r="F411" s="1103">
        <v>1</v>
      </c>
      <c r="G411" s="30">
        <v>198</v>
      </c>
      <c r="H411" s="1061">
        <f>CEILING(G411,'Parametros Generales'!$C$8)</f>
        <v>200</v>
      </c>
      <c r="I411" s="1057" t="s">
        <v>291</v>
      </c>
      <c r="J411" s="1058">
        <v>200</v>
      </c>
      <c r="K411" s="1070" t="str">
        <f t="shared" si="29"/>
        <v>Ok</v>
      </c>
      <c r="L411" s="1077">
        <f t="shared" si="30"/>
        <v>0</v>
      </c>
      <c r="M411" s="1090">
        <f>+H411/'Parametros Generales'!$C$8</f>
        <v>8</v>
      </c>
      <c r="N411" s="1097"/>
      <c r="O411" s="1097"/>
      <c r="P411" s="1097"/>
      <c r="Q411" s="1097"/>
      <c r="R411" s="1097">
        <f>+(M411/'Parametros Generales'!$C$9)</f>
        <v>2</v>
      </c>
      <c r="S411" s="390"/>
      <c r="T411" s="390"/>
      <c r="U411" s="390"/>
      <c r="V411" s="389"/>
      <c r="W411" s="32">
        <f>+R411*'Componentes T.H.'!$Q$9*'Parametros Generales'!$C$6</f>
        <v>10037014.142000001</v>
      </c>
      <c r="X411" s="32">
        <f>(+VLOOKUP(C411,'Transporte y Viaticos'!$B$87:$L$120,2,0)*'Parametros Generales'!$C$7*R411)*(2/3)</f>
        <v>2046506.3142373599</v>
      </c>
      <c r="Y411" s="417"/>
      <c r="Z411" s="417"/>
      <c r="AA411" s="417"/>
      <c r="AB411" s="417">
        <f>+M411*'Parametros Generales'!$C$6*'Parametros Generales'!$J$9</f>
        <v>3895272.7272727285</v>
      </c>
      <c r="AC411" s="417">
        <f>+H411*'Parametros Generales'!$J$10*'Parametros Generales'!$C$6*'Parametros Generales'!$C$11</f>
        <v>14738498.767401624</v>
      </c>
      <c r="AD411" s="417"/>
      <c r="AE411" s="417"/>
      <c r="AF411" s="417"/>
      <c r="AG411" s="417"/>
      <c r="AH411" s="417"/>
      <c r="AI411" s="417"/>
      <c r="AJ411" s="417"/>
      <c r="AK411" s="436"/>
      <c r="AL411" s="822"/>
    </row>
    <row r="412" spans="1:38" s="33" customFormat="1" hidden="1" outlineLevel="1">
      <c r="A412" s="1150"/>
      <c r="B412" s="823">
        <v>19</v>
      </c>
      <c r="C412" s="373" t="s">
        <v>259</v>
      </c>
      <c r="D412" s="374">
        <f>+VLOOKUP(E412,Codigos!$A$1:$B$1123,2,0)</f>
        <v>19845</v>
      </c>
      <c r="E412" s="1113" t="s">
        <v>1865</v>
      </c>
      <c r="F412" s="1104">
        <v>1</v>
      </c>
      <c r="G412" s="375">
        <v>198</v>
      </c>
      <c r="H412" s="1062">
        <f>CEILING(G412,'Parametros Generales'!$C$8)</f>
        <v>200</v>
      </c>
      <c r="I412" s="1057" t="s">
        <v>292</v>
      </c>
      <c r="J412" s="1058">
        <v>200</v>
      </c>
      <c r="K412" s="1070" t="str">
        <f t="shared" si="29"/>
        <v>Ok</v>
      </c>
      <c r="L412" s="1077">
        <f t="shared" si="30"/>
        <v>0</v>
      </c>
      <c r="M412" s="1091">
        <f>+H412/'Parametros Generales'!$C$8</f>
        <v>8</v>
      </c>
      <c r="N412" s="1098"/>
      <c r="O412" s="1098"/>
      <c r="P412" s="1098"/>
      <c r="Q412" s="1098"/>
      <c r="R412" s="1098">
        <f>+(M412/'Parametros Generales'!$C$9)</f>
        <v>2</v>
      </c>
      <c r="S412" s="395"/>
      <c r="T412" s="395"/>
      <c r="U412" s="395"/>
      <c r="V412" s="396"/>
      <c r="W412" s="376">
        <f>+R412*'Componentes T.H.'!$Q$9*'Parametros Generales'!$C$6</f>
        <v>10037014.142000001</v>
      </c>
      <c r="X412" s="376">
        <f>(+VLOOKUP(C412,'Transporte y Viaticos'!$B$87:$L$120,2,0)*'Parametros Generales'!$C$7*R412)*(2/3)</f>
        <v>2046506.3142373599</v>
      </c>
      <c r="Y412" s="417"/>
      <c r="Z412" s="417"/>
      <c r="AA412" s="417"/>
      <c r="AB412" s="417">
        <f>+M412*'Parametros Generales'!$C$6*'Parametros Generales'!$J$9</f>
        <v>3895272.7272727285</v>
      </c>
      <c r="AC412" s="417">
        <f>+H412*'Parametros Generales'!$J$10*'Parametros Generales'!$C$6*'Parametros Generales'!$C$11</f>
        <v>14738498.767401624</v>
      </c>
      <c r="AD412" s="417"/>
      <c r="AE412" s="417"/>
      <c r="AF412" s="417"/>
      <c r="AG412" s="417"/>
      <c r="AH412" s="417"/>
      <c r="AI412" s="417"/>
      <c r="AJ412" s="417"/>
      <c r="AK412" s="436"/>
      <c r="AL412" s="822"/>
    </row>
    <row r="413" spans="1:38" s="33" customFormat="1" hidden="1" outlineLevel="1">
      <c r="A413" s="1150"/>
      <c r="B413" s="823">
        <v>19</v>
      </c>
      <c r="C413" s="373" t="str">
        <f t="shared" ref="C413:C429" si="31">+C412</f>
        <v>CAUCA</v>
      </c>
      <c r="D413" s="374"/>
      <c r="E413" s="1113"/>
      <c r="F413" s="1104"/>
      <c r="G413" s="375"/>
      <c r="H413" s="1062"/>
      <c r="I413" s="1057"/>
      <c r="J413" s="1058"/>
      <c r="K413" s="1070" t="str">
        <f t="shared" si="29"/>
        <v>Ok</v>
      </c>
      <c r="L413" s="1077">
        <f t="shared" si="30"/>
        <v>0</v>
      </c>
      <c r="M413" s="1091">
        <f>+H413/'Parametros Generales'!$C$8</f>
        <v>0</v>
      </c>
      <c r="N413" s="1098"/>
      <c r="O413" s="1098"/>
      <c r="P413" s="1098"/>
      <c r="Q413" s="1098"/>
      <c r="R413" s="1098">
        <f>+(M413/'Parametros Generales'!$C$9)</f>
        <v>0</v>
      </c>
      <c r="S413" s="395"/>
      <c r="T413" s="395"/>
      <c r="U413" s="395"/>
      <c r="V413" s="396"/>
      <c r="W413" s="376">
        <f>+R413*'Componentes T.H.'!$Q$9*'Parametros Generales'!$C$6</f>
        <v>0</v>
      </c>
      <c r="X413" s="376">
        <f>(+VLOOKUP(C413,'Transporte y Viaticos'!$B$87:$L$120,2,0)*'Parametros Generales'!$C$7*R413)*(2/3)</f>
        <v>0</v>
      </c>
      <c r="Y413" s="417"/>
      <c r="Z413" s="417"/>
      <c r="AA413" s="417"/>
      <c r="AB413" s="417">
        <f>+M413*'Parametros Generales'!$C$6*'Parametros Generales'!$J$9</f>
        <v>0</v>
      </c>
      <c r="AC413" s="417">
        <f>+H413*'Parametros Generales'!$J$10*'Parametros Generales'!$C$6*'Parametros Generales'!$C$11</f>
        <v>0</v>
      </c>
      <c r="AD413" s="417"/>
      <c r="AE413" s="417"/>
      <c r="AF413" s="417"/>
      <c r="AG413" s="417"/>
      <c r="AH413" s="417"/>
      <c r="AI413" s="417"/>
      <c r="AJ413" s="417"/>
      <c r="AK413" s="436"/>
      <c r="AL413" s="822"/>
    </row>
    <row r="414" spans="1:38" s="33" customFormat="1" hidden="1" outlineLevel="1">
      <c r="A414" s="1150"/>
      <c r="B414" s="823">
        <v>19</v>
      </c>
      <c r="C414" s="373" t="str">
        <f t="shared" si="31"/>
        <v>CAUCA</v>
      </c>
      <c r="D414" s="374"/>
      <c r="E414" s="1113"/>
      <c r="F414" s="1104"/>
      <c r="G414" s="375"/>
      <c r="H414" s="1062"/>
      <c r="I414" s="1057"/>
      <c r="J414" s="1058"/>
      <c r="K414" s="1070" t="str">
        <f t="shared" si="29"/>
        <v>Ok</v>
      </c>
      <c r="L414" s="1077">
        <f t="shared" si="30"/>
        <v>0</v>
      </c>
      <c r="M414" s="1091">
        <f>+H414/'Parametros Generales'!$C$8</f>
        <v>0</v>
      </c>
      <c r="N414" s="1098"/>
      <c r="O414" s="1098"/>
      <c r="P414" s="1098"/>
      <c r="Q414" s="1098"/>
      <c r="R414" s="1098">
        <f>+(M414/'Parametros Generales'!$C$9)</f>
        <v>0</v>
      </c>
      <c r="S414" s="395"/>
      <c r="T414" s="395"/>
      <c r="U414" s="395"/>
      <c r="V414" s="396"/>
      <c r="W414" s="376">
        <f>+R414*'Componentes T.H.'!$Q$9*'Parametros Generales'!$C$6</f>
        <v>0</v>
      </c>
      <c r="X414" s="376">
        <f>(+VLOOKUP(C414,'Transporte y Viaticos'!$B$87:$L$120,2,0)*'Parametros Generales'!$C$7*R414)*(2/3)</f>
        <v>0</v>
      </c>
      <c r="Y414" s="417"/>
      <c r="Z414" s="417"/>
      <c r="AA414" s="417"/>
      <c r="AB414" s="417">
        <f>+M414*'Parametros Generales'!$C$6*'Parametros Generales'!$J$9</f>
        <v>0</v>
      </c>
      <c r="AC414" s="417">
        <f>+H414*'Parametros Generales'!$J$10*'Parametros Generales'!$C$6*'Parametros Generales'!$C$11</f>
        <v>0</v>
      </c>
      <c r="AD414" s="417"/>
      <c r="AE414" s="417"/>
      <c r="AF414" s="417"/>
      <c r="AG414" s="417"/>
      <c r="AH414" s="417"/>
      <c r="AI414" s="417"/>
      <c r="AJ414" s="417"/>
      <c r="AK414" s="436"/>
      <c r="AL414" s="822"/>
    </row>
    <row r="415" spans="1:38" s="33" customFormat="1" hidden="1" outlineLevel="1">
      <c r="A415" s="1150"/>
      <c r="B415" s="823">
        <v>19</v>
      </c>
      <c r="C415" s="373" t="str">
        <f t="shared" si="31"/>
        <v>CAUCA</v>
      </c>
      <c r="D415" s="374"/>
      <c r="E415" s="1113"/>
      <c r="F415" s="1104"/>
      <c r="G415" s="375"/>
      <c r="H415" s="1062"/>
      <c r="I415" s="1057"/>
      <c r="J415" s="1058"/>
      <c r="K415" s="1070" t="str">
        <f t="shared" si="29"/>
        <v>Ok</v>
      </c>
      <c r="L415" s="1077">
        <f t="shared" si="30"/>
        <v>0</v>
      </c>
      <c r="M415" s="1091">
        <f>+H415/'Parametros Generales'!$C$8</f>
        <v>0</v>
      </c>
      <c r="N415" s="1098"/>
      <c r="O415" s="1098"/>
      <c r="P415" s="1098"/>
      <c r="Q415" s="1098"/>
      <c r="R415" s="1098">
        <f>+(M415/'Parametros Generales'!$C$9)</f>
        <v>0</v>
      </c>
      <c r="S415" s="395"/>
      <c r="T415" s="395"/>
      <c r="U415" s="395"/>
      <c r="V415" s="396"/>
      <c r="W415" s="376">
        <f>+R415*'Componentes T.H.'!$Q$9*'Parametros Generales'!$C$6</f>
        <v>0</v>
      </c>
      <c r="X415" s="376">
        <f>(+VLOOKUP(C415,'Transporte y Viaticos'!$B$87:$L$120,2,0)*'Parametros Generales'!$C$7*R415)*(2/3)</f>
        <v>0</v>
      </c>
      <c r="Y415" s="417"/>
      <c r="Z415" s="417"/>
      <c r="AA415" s="417"/>
      <c r="AB415" s="417">
        <f>+M415*'Parametros Generales'!$C$6*'Parametros Generales'!$J$9</f>
        <v>0</v>
      </c>
      <c r="AC415" s="417">
        <f>+H415*'Parametros Generales'!$J$10*'Parametros Generales'!$C$6*'Parametros Generales'!$C$11</f>
        <v>0</v>
      </c>
      <c r="AD415" s="417"/>
      <c r="AE415" s="417"/>
      <c r="AF415" s="417"/>
      <c r="AG415" s="417"/>
      <c r="AH415" s="417"/>
      <c r="AI415" s="417"/>
      <c r="AJ415" s="417"/>
      <c r="AK415" s="436"/>
      <c r="AL415" s="822"/>
    </row>
    <row r="416" spans="1:38" s="33" customFormat="1" hidden="1" outlineLevel="1">
      <c r="A416" s="1150"/>
      <c r="B416" s="823">
        <v>19</v>
      </c>
      <c r="C416" s="373" t="str">
        <f t="shared" si="31"/>
        <v>CAUCA</v>
      </c>
      <c r="D416" s="374"/>
      <c r="E416" s="1113"/>
      <c r="F416" s="1104"/>
      <c r="G416" s="375"/>
      <c r="H416" s="1062"/>
      <c r="I416" s="1057"/>
      <c r="J416" s="1058"/>
      <c r="K416" s="1070" t="str">
        <f t="shared" si="29"/>
        <v>Ok</v>
      </c>
      <c r="L416" s="1077">
        <f t="shared" si="30"/>
        <v>0</v>
      </c>
      <c r="M416" s="1091">
        <f>+H416/'Parametros Generales'!$C$8</f>
        <v>0</v>
      </c>
      <c r="N416" s="1098"/>
      <c r="O416" s="1098"/>
      <c r="P416" s="1098"/>
      <c r="Q416" s="1098"/>
      <c r="R416" s="1098">
        <f>+(M416/'Parametros Generales'!$C$9)</f>
        <v>0</v>
      </c>
      <c r="S416" s="395"/>
      <c r="T416" s="395"/>
      <c r="U416" s="395"/>
      <c r="V416" s="396"/>
      <c r="W416" s="376">
        <f>+R416*'Componentes T.H.'!$Q$9*'Parametros Generales'!$C$6</f>
        <v>0</v>
      </c>
      <c r="X416" s="376">
        <f>(+VLOOKUP(C416,'Transporte y Viaticos'!$B$87:$L$120,2,0)*'Parametros Generales'!$C$7*R416)*(2/3)</f>
        <v>0</v>
      </c>
      <c r="Y416" s="417"/>
      <c r="Z416" s="417"/>
      <c r="AA416" s="417"/>
      <c r="AB416" s="417">
        <f>+M416*'Parametros Generales'!$C$6*'Parametros Generales'!$J$9</f>
        <v>0</v>
      </c>
      <c r="AC416" s="417">
        <f>+H416*'Parametros Generales'!$J$10*'Parametros Generales'!$C$6*'Parametros Generales'!$C$11</f>
        <v>0</v>
      </c>
      <c r="AD416" s="417"/>
      <c r="AE416" s="417"/>
      <c r="AF416" s="417"/>
      <c r="AG416" s="417"/>
      <c r="AH416" s="417"/>
      <c r="AI416" s="417"/>
      <c r="AJ416" s="417"/>
      <c r="AK416" s="436"/>
      <c r="AL416" s="822"/>
    </row>
    <row r="417" spans="1:38" s="33" customFormat="1" hidden="1" outlineLevel="1">
      <c r="A417" s="1150"/>
      <c r="B417" s="823">
        <v>19</v>
      </c>
      <c r="C417" s="373" t="str">
        <f t="shared" si="31"/>
        <v>CAUCA</v>
      </c>
      <c r="D417" s="374"/>
      <c r="E417" s="1113"/>
      <c r="F417" s="1104"/>
      <c r="G417" s="375"/>
      <c r="H417" s="1062"/>
      <c r="I417" s="1057"/>
      <c r="J417" s="1058"/>
      <c r="K417" s="1070" t="str">
        <f t="shared" si="29"/>
        <v>Ok</v>
      </c>
      <c r="L417" s="1077">
        <f t="shared" si="30"/>
        <v>0</v>
      </c>
      <c r="M417" s="1091">
        <f>+H417/'Parametros Generales'!$C$8</f>
        <v>0</v>
      </c>
      <c r="N417" s="1098"/>
      <c r="O417" s="1098"/>
      <c r="P417" s="1098"/>
      <c r="Q417" s="1098"/>
      <c r="R417" s="1098">
        <f>+(M417/'Parametros Generales'!$C$9)</f>
        <v>0</v>
      </c>
      <c r="S417" s="395"/>
      <c r="T417" s="395"/>
      <c r="U417" s="395"/>
      <c r="V417" s="396"/>
      <c r="W417" s="376">
        <f>+R417*'Componentes T.H.'!$Q$9*'Parametros Generales'!$C$6</f>
        <v>0</v>
      </c>
      <c r="X417" s="376">
        <f>(+VLOOKUP(C417,'Transporte y Viaticos'!$B$87:$L$120,2,0)*'Parametros Generales'!$C$7*R417)*(2/3)</f>
        <v>0</v>
      </c>
      <c r="Y417" s="417"/>
      <c r="Z417" s="417"/>
      <c r="AA417" s="417"/>
      <c r="AB417" s="417">
        <f>+M417*'Parametros Generales'!$C$6*'Parametros Generales'!$J$9</f>
        <v>0</v>
      </c>
      <c r="AC417" s="417">
        <f>+H417*'Parametros Generales'!$J$10*'Parametros Generales'!$C$6*'Parametros Generales'!$C$11</f>
        <v>0</v>
      </c>
      <c r="AD417" s="417"/>
      <c r="AE417" s="417"/>
      <c r="AF417" s="417"/>
      <c r="AG417" s="417"/>
      <c r="AH417" s="417"/>
      <c r="AI417" s="417"/>
      <c r="AJ417" s="417"/>
      <c r="AK417" s="436"/>
      <c r="AL417" s="822"/>
    </row>
    <row r="418" spans="1:38" s="33" customFormat="1" hidden="1" outlineLevel="1">
      <c r="A418" s="1150"/>
      <c r="B418" s="823">
        <v>19</v>
      </c>
      <c r="C418" s="373" t="str">
        <f t="shared" si="31"/>
        <v>CAUCA</v>
      </c>
      <c r="D418" s="374"/>
      <c r="E418" s="1113"/>
      <c r="F418" s="1104"/>
      <c r="G418" s="375"/>
      <c r="H418" s="1062"/>
      <c r="I418" s="1057"/>
      <c r="J418" s="1058"/>
      <c r="K418" s="1070" t="str">
        <f t="shared" si="29"/>
        <v>Ok</v>
      </c>
      <c r="L418" s="1077">
        <f t="shared" si="30"/>
        <v>0</v>
      </c>
      <c r="M418" s="1091">
        <f>+H418/'Parametros Generales'!$C$8</f>
        <v>0</v>
      </c>
      <c r="N418" s="1098"/>
      <c r="O418" s="1098"/>
      <c r="P418" s="1098"/>
      <c r="Q418" s="1098"/>
      <c r="R418" s="1098">
        <f>+(M418/'Parametros Generales'!$C$9)</f>
        <v>0</v>
      </c>
      <c r="S418" s="395"/>
      <c r="T418" s="395"/>
      <c r="U418" s="395"/>
      <c r="V418" s="396"/>
      <c r="W418" s="376">
        <f>+R418*'Componentes T.H.'!$Q$9*'Parametros Generales'!$C$6</f>
        <v>0</v>
      </c>
      <c r="X418" s="376">
        <f>(+VLOOKUP(C418,'Transporte y Viaticos'!$B$87:$L$120,2,0)*'Parametros Generales'!$C$7*R418)*(2/3)</f>
        <v>0</v>
      </c>
      <c r="Y418" s="417"/>
      <c r="Z418" s="417"/>
      <c r="AA418" s="417"/>
      <c r="AB418" s="417">
        <f>+M418*'Parametros Generales'!$C$6*'Parametros Generales'!$J$9</f>
        <v>0</v>
      </c>
      <c r="AC418" s="417">
        <f>+H418*'Parametros Generales'!$J$10*'Parametros Generales'!$C$6*'Parametros Generales'!$C$11</f>
        <v>0</v>
      </c>
      <c r="AD418" s="417"/>
      <c r="AE418" s="417"/>
      <c r="AF418" s="417"/>
      <c r="AG418" s="417"/>
      <c r="AH418" s="417"/>
      <c r="AI418" s="417"/>
      <c r="AJ418" s="417"/>
      <c r="AK418" s="436"/>
      <c r="AL418" s="822"/>
    </row>
    <row r="419" spans="1:38" s="33" customFormat="1" hidden="1" outlineLevel="1">
      <c r="A419" s="1150"/>
      <c r="B419" s="823">
        <v>19</v>
      </c>
      <c r="C419" s="373" t="str">
        <f t="shared" si="31"/>
        <v>CAUCA</v>
      </c>
      <c r="D419" s="374"/>
      <c r="E419" s="1113"/>
      <c r="F419" s="1104"/>
      <c r="G419" s="375"/>
      <c r="H419" s="1062"/>
      <c r="I419" s="1057"/>
      <c r="J419" s="1058"/>
      <c r="K419" s="1070" t="str">
        <f t="shared" si="29"/>
        <v>Ok</v>
      </c>
      <c r="L419" s="1077">
        <f t="shared" si="30"/>
        <v>0</v>
      </c>
      <c r="M419" s="1091">
        <f>+H419/'Parametros Generales'!$C$8</f>
        <v>0</v>
      </c>
      <c r="N419" s="1098"/>
      <c r="O419" s="1098"/>
      <c r="P419" s="1098"/>
      <c r="Q419" s="1098"/>
      <c r="R419" s="1098">
        <f>+(M419/'Parametros Generales'!$C$9)</f>
        <v>0</v>
      </c>
      <c r="S419" s="395"/>
      <c r="T419" s="395"/>
      <c r="U419" s="395"/>
      <c r="V419" s="396"/>
      <c r="W419" s="376">
        <f>+R419*'Componentes T.H.'!$Q$9*'Parametros Generales'!$C$6</f>
        <v>0</v>
      </c>
      <c r="X419" s="376">
        <f>(+VLOOKUP(C419,'Transporte y Viaticos'!$B$87:$L$120,2,0)*'Parametros Generales'!$C$7*R419)*(2/3)</f>
        <v>0</v>
      </c>
      <c r="Y419" s="417"/>
      <c r="Z419" s="417"/>
      <c r="AA419" s="417"/>
      <c r="AB419" s="417">
        <f>+M419*'Parametros Generales'!$C$6*'Parametros Generales'!$J$9</f>
        <v>0</v>
      </c>
      <c r="AC419" s="417">
        <f>+H419*'Parametros Generales'!$J$10*'Parametros Generales'!$C$6*'Parametros Generales'!$C$11</f>
        <v>0</v>
      </c>
      <c r="AD419" s="417"/>
      <c r="AE419" s="417"/>
      <c r="AF419" s="417"/>
      <c r="AG419" s="417"/>
      <c r="AH419" s="417"/>
      <c r="AI419" s="417"/>
      <c r="AJ419" s="417"/>
      <c r="AK419" s="436"/>
      <c r="AL419" s="822"/>
    </row>
    <row r="420" spans="1:38" s="33" customFormat="1" hidden="1" outlineLevel="1">
      <c r="A420" s="1150"/>
      <c r="B420" s="823">
        <v>19</v>
      </c>
      <c r="C420" s="373" t="str">
        <f t="shared" si="31"/>
        <v>CAUCA</v>
      </c>
      <c r="D420" s="374"/>
      <c r="E420" s="1113"/>
      <c r="F420" s="1104"/>
      <c r="G420" s="375"/>
      <c r="H420" s="1062"/>
      <c r="I420" s="1057"/>
      <c r="J420" s="1058"/>
      <c r="K420" s="1070" t="str">
        <f t="shared" si="29"/>
        <v>Ok</v>
      </c>
      <c r="L420" s="1077">
        <f t="shared" si="30"/>
        <v>0</v>
      </c>
      <c r="M420" s="1091">
        <f>+H420/'Parametros Generales'!$C$8</f>
        <v>0</v>
      </c>
      <c r="N420" s="1098"/>
      <c r="O420" s="1098"/>
      <c r="P420" s="1098"/>
      <c r="Q420" s="1098"/>
      <c r="R420" s="1098">
        <f>+(M420/'Parametros Generales'!$C$9)</f>
        <v>0</v>
      </c>
      <c r="S420" s="395"/>
      <c r="T420" s="395"/>
      <c r="U420" s="395"/>
      <c r="V420" s="396"/>
      <c r="W420" s="376">
        <f>+R420*'Componentes T.H.'!$Q$9*'Parametros Generales'!$C$6</f>
        <v>0</v>
      </c>
      <c r="X420" s="376">
        <f>(+VLOOKUP(C420,'Transporte y Viaticos'!$B$87:$L$120,2,0)*'Parametros Generales'!$C$7*R420)*(2/3)</f>
        <v>0</v>
      </c>
      <c r="Y420" s="417"/>
      <c r="Z420" s="417"/>
      <c r="AA420" s="417"/>
      <c r="AB420" s="417">
        <f>+M420*'Parametros Generales'!$C$6*'Parametros Generales'!$J$9</f>
        <v>0</v>
      </c>
      <c r="AC420" s="417">
        <f>+H420*'Parametros Generales'!$J$10*'Parametros Generales'!$C$6*'Parametros Generales'!$C$11</f>
        <v>0</v>
      </c>
      <c r="AD420" s="417"/>
      <c r="AE420" s="417"/>
      <c r="AF420" s="417"/>
      <c r="AG420" s="417"/>
      <c r="AH420" s="417"/>
      <c r="AI420" s="417"/>
      <c r="AJ420" s="417"/>
      <c r="AK420" s="436"/>
      <c r="AL420" s="822"/>
    </row>
    <row r="421" spans="1:38" s="33" customFormat="1" hidden="1" outlineLevel="1">
      <c r="A421" s="1150"/>
      <c r="B421" s="823">
        <v>19</v>
      </c>
      <c r="C421" s="373" t="str">
        <f t="shared" si="31"/>
        <v>CAUCA</v>
      </c>
      <c r="D421" s="374"/>
      <c r="E421" s="1113"/>
      <c r="F421" s="1104"/>
      <c r="G421" s="375"/>
      <c r="H421" s="1062"/>
      <c r="I421" s="1057"/>
      <c r="J421" s="1058"/>
      <c r="K421" s="1070" t="str">
        <f t="shared" si="29"/>
        <v>Ok</v>
      </c>
      <c r="L421" s="1077">
        <f t="shared" si="30"/>
        <v>0</v>
      </c>
      <c r="M421" s="1091">
        <f>+H421/'Parametros Generales'!$C$8</f>
        <v>0</v>
      </c>
      <c r="N421" s="1098"/>
      <c r="O421" s="1098"/>
      <c r="P421" s="1098"/>
      <c r="Q421" s="1098"/>
      <c r="R421" s="1098">
        <f>+(M421/'Parametros Generales'!$C$9)</f>
        <v>0</v>
      </c>
      <c r="S421" s="395"/>
      <c r="T421" s="395"/>
      <c r="U421" s="395"/>
      <c r="V421" s="396"/>
      <c r="W421" s="376">
        <f>+R421*'Componentes T.H.'!$Q$9*'Parametros Generales'!$C$6</f>
        <v>0</v>
      </c>
      <c r="X421" s="376">
        <f>(+VLOOKUP(C421,'Transporte y Viaticos'!$B$87:$L$120,2,0)*'Parametros Generales'!$C$7*R421)*(2/3)</f>
        <v>0</v>
      </c>
      <c r="Y421" s="417"/>
      <c r="Z421" s="417"/>
      <c r="AA421" s="417"/>
      <c r="AB421" s="417">
        <f>+M421*'Parametros Generales'!$C$6*'Parametros Generales'!$J$9</f>
        <v>0</v>
      </c>
      <c r="AC421" s="417">
        <f>+H421*'Parametros Generales'!$J$10*'Parametros Generales'!$C$6*'Parametros Generales'!$C$11</f>
        <v>0</v>
      </c>
      <c r="AD421" s="417"/>
      <c r="AE421" s="417"/>
      <c r="AF421" s="417"/>
      <c r="AG421" s="417"/>
      <c r="AH421" s="417"/>
      <c r="AI421" s="417"/>
      <c r="AJ421" s="417"/>
      <c r="AK421" s="436"/>
      <c r="AL421" s="822"/>
    </row>
    <row r="422" spans="1:38" s="33" customFormat="1" hidden="1" outlineLevel="1">
      <c r="A422" s="1150"/>
      <c r="B422" s="823">
        <v>19</v>
      </c>
      <c r="C422" s="373" t="str">
        <f t="shared" si="31"/>
        <v>CAUCA</v>
      </c>
      <c r="D422" s="374"/>
      <c r="E422" s="1113"/>
      <c r="F422" s="1104"/>
      <c r="G422" s="375"/>
      <c r="H422" s="1062"/>
      <c r="I422" s="1057"/>
      <c r="J422" s="1058"/>
      <c r="K422" s="1070" t="str">
        <f t="shared" si="29"/>
        <v>Ok</v>
      </c>
      <c r="L422" s="1077">
        <f t="shared" si="30"/>
        <v>0</v>
      </c>
      <c r="M422" s="1091">
        <f>+H422/'Parametros Generales'!$C$8</f>
        <v>0</v>
      </c>
      <c r="N422" s="1098"/>
      <c r="O422" s="1098"/>
      <c r="P422" s="1098"/>
      <c r="Q422" s="1098"/>
      <c r="R422" s="1098">
        <f>+(M422/'Parametros Generales'!$C$9)</f>
        <v>0</v>
      </c>
      <c r="S422" s="395"/>
      <c r="T422" s="395"/>
      <c r="U422" s="395"/>
      <c r="V422" s="396"/>
      <c r="W422" s="376">
        <f>+R422*'Componentes T.H.'!$Q$9*'Parametros Generales'!$C$6</f>
        <v>0</v>
      </c>
      <c r="X422" s="376">
        <f>(+VLOOKUP(C422,'Transporte y Viaticos'!$B$87:$L$120,2,0)*'Parametros Generales'!$C$7*R422)*(2/3)</f>
        <v>0</v>
      </c>
      <c r="Y422" s="417"/>
      <c r="Z422" s="417"/>
      <c r="AA422" s="417"/>
      <c r="AB422" s="417">
        <f>+M422*'Parametros Generales'!$C$6*'Parametros Generales'!$J$9</f>
        <v>0</v>
      </c>
      <c r="AC422" s="417">
        <f>+H422*'Parametros Generales'!$J$10*'Parametros Generales'!$C$6*'Parametros Generales'!$C$11</f>
        <v>0</v>
      </c>
      <c r="AD422" s="417"/>
      <c r="AE422" s="417"/>
      <c r="AF422" s="417"/>
      <c r="AG422" s="417"/>
      <c r="AH422" s="417"/>
      <c r="AI422" s="417"/>
      <c r="AJ422" s="417"/>
      <c r="AK422" s="436"/>
      <c r="AL422" s="822"/>
    </row>
    <row r="423" spans="1:38" s="33" customFormat="1" hidden="1" outlineLevel="1">
      <c r="A423" s="1150"/>
      <c r="B423" s="823">
        <v>19</v>
      </c>
      <c r="C423" s="373" t="str">
        <f t="shared" si="31"/>
        <v>CAUCA</v>
      </c>
      <c r="D423" s="374"/>
      <c r="E423" s="1113"/>
      <c r="F423" s="1104"/>
      <c r="G423" s="375"/>
      <c r="H423" s="1062"/>
      <c r="I423" s="1057"/>
      <c r="J423" s="1058"/>
      <c r="K423" s="1070" t="str">
        <f t="shared" si="29"/>
        <v>Ok</v>
      </c>
      <c r="L423" s="1077">
        <f t="shared" si="30"/>
        <v>0</v>
      </c>
      <c r="M423" s="1091">
        <f>+H423/'Parametros Generales'!$C$8</f>
        <v>0</v>
      </c>
      <c r="N423" s="1098"/>
      <c r="O423" s="1098"/>
      <c r="P423" s="1098"/>
      <c r="Q423" s="1098"/>
      <c r="R423" s="1098">
        <f>+(M423/'Parametros Generales'!$C$9)</f>
        <v>0</v>
      </c>
      <c r="S423" s="395"/>
      <c r="T423" s="395"/>
      <c r="U423" s="395"/>
      <c r="V423" s="396"/>
      <c r="W423" s="376">
        <f>+R423*'Componentes T.H.'!$Q$9*'Parametros Generales'!$C$6</f>
        <v>0</v>
      </c>
      <c r="X423" s="376">
        <f>(+VLOOKUP(C423,'Transporte y Viaticos'!$B$87:$L$120,2,0)*'Parametros Generales'!$C$7*R423)*(2/3)</f>
        <v>0</v>
      </c>
      <c r="Y423" s="417"/>
      <c r="Z423" s="417"/>
      <c r="AA423" s="417"/>
      <c r="AB423" s="417">
        <f>+M423*'Parametros Generales'!$C$6*'Parametros Generales'!$J$9</f>
        <v>0</v>
      </c>
      <c r="AC423" s="417">
        <f>+H423*'Parametros Generales'!$J$10*'Parametros Generales'!$C$6*'Parametros Generales'!$C$11</f>
        <v>0</v>
      </c>
      <c r="AD423" s="417"/>
      <c r="AE423" s="417"/>
      <c r="AF423" s="417"/>
      <c r="AG423" s="417"/>
      <c r="AH423" s="417"/>
      <c r="AI423" s="417"/>
      <c r="AJ423" s="417"/>
      <c r="AK423" s="436"/>
      <c r="AL423" s="822"/>
    </row>
    <row r="424" spans="1:38" s="33" customFormat="1" hidden="1" outlineLevel="1">
      <c r="A424" s="1150"/>
      <c r="B424" s="823">
        <v>19</v>
      </c>
      <c r="C424" s="373" t="str">
        <f t="shared" si="31"/>
        <v>CAUCA</v>
      </c>
      <c r="D424" s="374"/>
      <c r="E424" s="1113"/>
      <c r="F424" s="1104"/>
      <c r="G424" s="375"/>
      <c r="H424" s="1062"/>
      <c r="I424" s="1057"/>
      <c r="J424" s="1058"/>
      <c r="K424" s="1070" t="str">
        <f t="shared" si="29"/>
        <v>Ok</v>
      </c>
      <c r="L424" s="1077">
        <f t="shared" si="30"/>
        <v>0</v>
      </c>
      <c r="M424" s="1091">
        <f>+H424/'Parametros Generales'!$C$8</f>
        <v>0</v>
      </c>
      <c r="N424" s="1098"/>
      <c r="O424" s="1098"/>
      <c r="P424" s="1098"/>
      <c r="Q424" s="1098"/>
      <c r="R424" s="1098">
        <f>+(M424/'Parametros Generales'!$C$9)</f>
        <v>0</v>
      </c>
      <c r="S424" s="395"/>
      <c r="T424" s="395"/>
      <c r="U424" s="395"/>
      <c r="V424" s="396"/>
      <c r="W424" s="376">
        <f>+R424*'Componentes T.H.'!$Q$9*'Parametros Generales'!$C$6</f>
        <v>0</v>
      </c>
      <c r="X424" s="376">
        <f>(+VLOOKUP(C424,'Transporte y Viaticos'!$B$87:$L$120,2,0)*'Parametros Generales'!$C$7*R424)*(2/3)</f>
        <v>0</v>
      </c>
      <c r="Y424" s="417"/>
      <c r="Z424" s="417"/>
      <c r="AA424" s="417"/>
      <c r="AB424" s="417">
        <f>+M424*'Parametros Generales'!$C$6*'Parametros Generales'!$J$9</f>
        <v>0</v>
      </c>
      <c r="AC424" s="417">
        <f>+H424*'Parametros Generales'!$J$10*'Parametros Generales'!$C$6*'Parametros Generales'!$C$11</f>
        <v>0</v>
      </c>
      <c r="AD424" s="417"/>
      <c r="AE424" s="417"/>
      <c r="AF424" s="417"/>
      <c r="AG424" s="417"/>
      <c r="AH424" s="417"/>
      <c r="AI424" s="417"/>
      <c r="AJ424" s="417"/>
      <c r="AK424" s="436"/>
      <c r="AL424" s="822"/>
    </row>
    <row r="425" spans="1:38" s="33" customFormat="1" hidden="1" outlineLevel="1">
      <c r="A425" s="1150"/>
      <c r="B425" s="823">
        <v>19</v>
      </c>
      <c r="C425" s="373" t="str">
        <f t="shared" si="31"/>
        <v>CAUCA</v>
      </c>
      <c r="D425" s="374"/>
      <c r="E425" s="1113"/>
      <c r="F425" s="1104"/>
      <c r="G425" s="375"/>
      <c r="H425" s="1062"/>
      <c r="I425" s="1057"/>
      <c r="J425" s="1058"/>
      <c r="K425" s="1070" t="str">
        <f t="shared" si="29"/>
        <v>Ok</v>
      </c>
      <c r="L425" s="1077">
        <f t="shared" si="30"/>
        <v>0</v>
      </c>
      <c r="M425" s="1091">
        <f>+H425/'Parametros Generales'!$C$8</f>
        <v>0</v>
      </c>
      <c r="N425" s="1098"/>
      <c r="O425" s="1098"/>
      <c r="P425" s="1098"/>
      <c r="Q425" s="1098"/>
      <c r="R425" s="1098">
        <f>+(M425/'Parametros Generales'!$C$9)</f>
        <v>0</v>
      </c>
      <c r="S425" s="395"/>
      <c r="T425" s="395"/>
      <c r="U425" s="395"/>
      <c r="V425" s="396"/>
      <c r="W425" s="376">
        <f>+R425*'Componentes T.H.'!$Q$9*'Parametros Generales'!$C$6</f>
        <v>0</v>
      </c>
      <c r="X425" s="376">
        <f>(+VLOOKUP(C425,'Transporte y Viaticos'!$B$87:$L$120,2,0)*'Parametros Generales'!$C$7*R425)*(2/3)</f>
        <v>0</v>
      </c>
      <c r="Y425" s="417"/>
      <c r="Z425" s="417"/>
      <c r="AA425" s="417"/>
      <c r="AB425" s="417">
        <f>+M425*'Parametros Generales'!$C$6*'Parametros Generales'!$J$9</f>
        <v>0</v>
      </c>
      <c r="AC425" s="417">
        <f>+H425*'Parametros Generales'!$J$10*'Parametros Generales'!$C$6*'Parametros Generales'!$C$11</f>
        <v>0</v>
      </c>
      <c r="AD425" s="417"/>
      <c r="AE425" s="417"/>
      <c r="AF425" s="417"/>
      <c r="AG425" s="417"/>
      <c r="AH425" s="417"/>
      <c r="AI425" s="417"/>
      <c r="AJ425" s="417"/>
      <c r="AK425" s="436"/>
      <c r="AL425" s="822"/>
    </row>
    <row r="426" spans="1:38" s="33" customFormat="1" hidden="1" outlineLevel="1">
      <c r="A426" s="1150"/>
      <c r="B426" s="823">
        <v>19</v>
      </c>
      <c r="C426" s="373" t="str">
        <f t="shared" si="31"/>
        <v>CAUCA</v>
      </c>
      <c r="D426" s="374"/>
      <c r="E426" s="1113"/>
      <c r="F426" s="1104"/>
      <c r="G426" s="375"/>
      <c r="H426" s="1062"/>
      <c r="I426" s="1057"/>
      <c r="J426" s="1058"/>
      <c r="K426" s="1070" t="str">
        <f t="shared" si="29"/>
        <v>Ok</v>
      </c>
      <c r="L426" s="1077">
        <f t="shared" si="30"/>
        <v>0</v>
      </c>
      <c r="M426" s="1091">
        <f>+H426/'Parametros Generales'!$C$8</f>
        <v>0</v>
      </c>
      <c r="N426" s="1098"/>
      <c r="O426" s="1098"/>
      <c r="P426" s="1098"/>
      <c r="Q426" s="1098"/>
      <c r="R426" s="1098">
        <f>+(M426/'Parametros Generales'!$C$9)</f>
        <v>0</v>
      </c>
      <c r="S426" s="395"/>
      <c r="T426" s="395"/>
      <c r="U426" s="395"/>
      <c r="V426" s="396"/>
      <c r="W426" s="376">
        <f>+R426*'Componentes T.H.'!$Q$9*'Parametros Generales'!$C$6</f>
        <v>0</v>
      </c>
      <c r="X426" s="376">
        <f>(+VLOOKUP(C426,'Transporte y Viaticos'!$B$87:$L$120,2,0)*'Parametros Generales'!$C$7*R426)*(2/3)</f>
        <v>0</v>
      </c>
      <c r="Y426" s="417"/>
      <c r="Z426" s="417"/>
      <c r="AA426" s="417"/>
      <c r="AB426" s="417">
        <f>+M426*'Parametros Generales'!$C$6*'Parametros Generales'!$J$9</f>
        <v>0</v>
      </c>
      <c r="AC426" s="417">
        <f>+H426*'Parametros Generales'!$J$10*'Parametros Generales'!$C$6*'Parametros Generales'!$C$11</f>
        <v>0</v>
      </c>
      <c r="AD426" s="417"/>
      <c r="AE426" s="417"/>
      <c r="AF426" s="417"/>
      <c r="AG426" s="417"/>
      <c r="AH426" s="417"/>
      <c r="AI426" s="417"/>
      <c r="AJ426" s="417"/>
      <c r="AK426" s="436"/>
      <c r="AL426" s="822"/>
    </row>
    <row r="427" spans="1:38" s="33" customFormat="1" hidden="1" outlineLevel="1">
      <c r="A427" s="1150"/>
      <c r="B427" s="823">
        <v>19</v>
      </c>
      <c r="C427" s="373" t="str">
        <f t="shared" si="31"/>
        <v>CAUCA</v>
      </c>
      <c r="D427" s="374"/>
      <c r="E427" s="1113"/>
      <c r="F427" s="1104"/>
      <c r="G427" s="375"/>
      <c r="H427" s="1062"/>
      <c r="I427" s="1057"/>
      <c r="J427" s="1058"/>
      <c r="K427" s="1070" t="str">
        <f t="shared" si="29"/>
        <v>Ok</v>
      </c>
      <c r="L427" s="1077">
        <f t="shared" si="30"/>
        <v>0</v>
      </c>
      <c r="M427" s="1091">
        <f>+H427/'Parametros Generales'!$C$8</f>
        <v>0</v>
      </c>
      <c r="N427" s="1098"/>
      <c r="O427" s="1098"/>
      <c r="P427" s="1098"/>
      <c r="Q427" s="1098"/>
      <c r="R427" s="1098">
        <f>+(M427/'Parametros Generales'!$C$9)</f>
        <v>0</v>
      </c>
      <c r="S427" s="395"/>
      <c r="T427" s="395"/>
      <c r="U427" s="395"/>
      <c r="V427" s="396"/>
      <c r="W427" s="376">
        <f>+R427*'Componentes T.H.'!$Q$9*'Parametros Generales'!$C$6</f>
        <v>0</v>
      </c>
      <c r="X427" s="376">
        <f>(+VLOOKUP(C427,'Transporte y Viaticos'!$B$87:$L$120,2,0)*'Parametros Generales'!$C$7*R427)*(2/3)</f>
        <v>0</v>
      </c>
      <c r="Y427" s="417"/>
      <c r="Z427" s="417"/>
      <c r="AA427" s="417"/>
      <c r="AB427" s="417">
        <f>+M427*'Parametros Generales'!$C$6*'Parametros Generales'!$J$9</f>
        <v>0</v>
      </c>
      <c r="AC427" s="417">
        <f>+H427*'Parametros Generales'!$J$10*'Parametros Generales'!$C$6*'Parametros Generales'!$C$11</f>
        <v>0</v>
      </c>
      <c r="AD427" s="417"/>
      <c r="AE427" s="417"/>
      <c r="AF427" s="417"/>
      <c r="AG427" s="417"/>
      <c r="AH427" s="417"/>
      <c r="AI427" s="417"/>
      <c r="AJ427" s="417"/>
      <c r="AK427" s="436"/>
      <c r="AL427" s="822"/>
    </row>
    <row r="428" spans="1:38" s="33" customFormat="1" hidden="1" outlineLevel="1">
      <c r="A428" s="1150"/>
      <c r="B428" s="823">
        <v>19</v>
      </c>
      <c r="C428" s="373" t="str">
        <f t="shared" si="31"/>
        <v>CAUCA</v>
      </c>
      <c r="D428" s="374"/>
      <c r="E428" s="1113"/>
      <c r="F428" s="1104"/>
      <c r="G428" s="375"/>
      <c r="H428" s="1062"/>
      <c r="I428" s="1057"/>
      <c r="J428" s="1058"/>
      <c r="K428" s="1070" t="str">
        <f t="shared" si="29"/>
        <v>Ok</v>
      </c>
      <c r="L428" s="1077">
        <f t="shared" si="30"/>
        <v>0</v>
      </c>
      <c r="M428" s="1091">
        <f>+H428/'Parametros Generales'!$C$8</f>
        <v>0</v>
      </c>
      <c r="N428" s="1098"/>
      <c r="O428" s="1098"/>
      <c r="P428" s="1098"/>
      <c r="Q428" s="1098"/>
      <c r="R428" s="1098">
        <f>+(M428/'Parametros Generales'!$C$9)</f>
        <v>0</v>
      </c>
      <c r="S428" s="395"/>
      <c r="T428" s="395"/>
      <c r="U428" s="395"/>
      <c r="V428" s="396"/>
      <c r="W428" s="376">
        <f>+R428*'Componentes T.H.'!$Q$9*'Parametros Generales'!$C$6</f>
        <v>0</v>
      </c>
      <c r="X428" s="376">
        <f>(+VLOOKUP(C428,'Transporte y Viaticos'!$B$87:$L$120,2,0)*'Parametros Generales'!$C$7*R428)*(2/3)</f>
        <v>0</v>
      </c>
      <c r="Y428" s="417"/>
      <c r="Z428" s="417"/>
      <c r="AA428" s="417"/>
      <c r="AB428" s="417">
        <f>+M428*'Parametros Generales'!$C$6*'Parametros Generales'!$J$9</f>
        <v>0</v>
      </c>
      <c r="AC428" s="417">
        <f>+H428*'Parametros Generales'!$J$10*'Parametros Generales'!$C$6*'Parametros Generales'!$C$11</f>
        <v>0</v>
      </c>
      <c r="AD428" s="417"/>
      <c r="AE428" s="417"/>
      <c r="AF428" s="417"/>
      <c r="AG428" s="417"/>
      <c r="AH428" s="417"/>
      <c r="AI428" s="417"/>
      <c r="AJ428" s="417"/>
      <c r="AK428" s="436"/>
      <c r="AL428" s="822"/>
    </row>
    <row r="429" spans="1:38" s="33" customFormat="1" hidden="1" outlineLevel="1">
      <c r="A429" s="1150"/>
      <c r="B429" s="823">
        <v>19</v>
      </c>
      <c r="C429" s="373" t="str">
        <f t="shared" si="31"/>
        <v>CAUCA</v>
      </c>
      <c r="D429" s="374"/>
      <c r="E429" s="1113"/>
      <c r="F429" s="1104"/>
      <c r="G429" s="375"/>
      <c r="H429" s="1062"/>
      <c r="I429" s="1057"/>
      <c r="J429" s="1058"/>
      <c r="K429" s="1070" t="str">
        <f t="shared" si="29"/>
        <v>Ok</v>
      </c>
      <c r="L429" s="1077">
        <f t="shared" si="30"/>
        <v>0</v>
      </c>
      <c r="M429" s="1091">
        <f>+H429/'Parametros Generales'!$C$8</f>
        <v>0</v>
      </c>
      <c r="N429" s="1098"/>
      <c r="O429" s="1098"/>
      <c r="P429" s="1098"/>
      <c r="Q429" s="1098"/>
      <c r="R429" s="1098">
        <f>+(M429/'Parametros Generales'!$C$9)</f>
        <v>0</v>
      </c>
      <c r="S429" s="395"/>
      <c r="T429" s="395"/>
      <c r="U429" s="395"/>
      <c r="V429" s="396"/>
      <c r="W429" s="376">
        <f>+R429*'Componentes T.H.'!$Q$9*'Parametros Generales'!$C$6</f>
        <v>0</v>
      </c>
      <c r="X429" s="376">
        <f>(+VLOOKUP(C429,'Transporte y Viaticos'!$B$87:$L$120,2,0)*'Parametros Generales'!$C$7*R429)*(2/3)</f>
        <v>0</v>
      </c>
      <c r="Y429" s="417"/>
      <c r="Z429" s="417"/>
      <c r="AA429" s="417"/>
      <c r="AB429" s="417">
        <f>+M429*'Parametros Generales'!$C$6*'Parametros Generales'!$J$9</f>
        <v>0</v>
      </c>
      <c r="AC429" s="417">
        <f>+H429*'Parametros Generales'!$J$10*'Parametros Generales'!$C$6*'Parametros Generales'!$C$11</f>
        <v>0</v>
      </c>
      <c r="AD429" s="417"/>
      <c r="AE429" s="417"/>
      <c r="AF429" s="417"/>
      <c r="AG429" s="417"/>
      <c r="AH429" s="417"/>
      <c r="AI429" s="417"/>
      <c r="AJ429" s="417"/>
      <c r="AK429" s="436"/>
      <c r="AL429" s="822"/>
    </row>
    <row r="430" spans="1:38" s="392" customFormat="1" collapsed="1">
      <c r="A430" s="1151">
        <v>9</v>
      </c>
      <c r="B430" s="824">
        <v>20</v>
      </c>
      <c r="C430" s="385" t="s">
        <v>293</v>
      </c>
      <c r="D430" s="386"/>
      <c r="E430" s="1114" t="s">
        <v>293</v>
      </c>
      <c r="F430" s="1105">
        <f>SUM(F431:F453)</f>
        <v>23</v>
      </c>
      <c r="G430" s="388">
        <f>+SUM(G431:G453)</f>
        <v>5412</v>
      </c>
      <c r="H430" s="512">
        <f>+SUM(H431:H463)</f>
        <v>5500</v>
      </c>
      <c r="I430" s="1057" t="s">
        <v>293</v>
      </c>
      <c r="J430" s="1067">
        <v>5500</v>
      </c>
      <c r="K430" s="1069" t="str">
        <f t="shared" si="29"/>
        <v>Ok</v>
      </c>
      <c r="L430" s="1077">
        <f t="shared" si="30"/>
        <v>0</v>
      </c>
      <c r="M430" s="512">
        <f>+SUM(M431:M463)</f>
        <v>220</v>
      </c>
      <c r="N430" s="1073">
        <f>+VLOOKUP(H430,'Parametros Generales'!$B$14:$D$17,3,TRUE)</f>
        <v>0.8</v>
      </c>
      <c r="O430" s="1073">
        <f>+VLOOKUP(H430,'Parametros Generales'!$B$14:$D$17,3,TRUE)</f>
        <v>0.8</v>
      </c>
      <c r="P430" s="1073">
        <f>+VLOOKUP(H430,'Parametros Generales'!$B$14:$D$17,3,TRUE)</f>
        <v>0.8</v>
      </c>
      <c r="Q430" s="1073">
        <f>+R430/'Parametros Generales'!$C$10</f>
        <v>6.875</v>
      </c>
      <c r="R430" s="512">
        <f>+SUM(R431:R463)</f>
        <v>55</v>
      </c>
      <c r="S430" s="390">
        <f>+VLOOKUP(S$1,'Componentes T.H.'!$B$4:$R$22,'Componentes T.H.'!$Q$1,0)*'Parametros Generales'!$C$6*'Cost x Depart'!N430</f>
        <v>11725411.310133336</v>
      </c>
      <c r="T430" s="390">
        <f>+VLOOKUP(T$1,'Componentes T.H.'!$B$4:$R$22,'Componentes T.H.'!$Q$1,0)*'Parametros Generales'!$C$6*'Cost x Depart'!O430</f>
        <v>8835052.5272000004</v>
      </c>
      <c r="U430" s="390">
        <f>+VLOOKUP(U$1,'Componentes T.H.'!$B$4:$R$22,'Componentes T.H.'!$Q$1,0)*'Parametros Generales'!$C$6*'Cost x Depart'!P430</f>
        <v>3912345.6000000001</v>
      </c>
      <c r="V430" s="389">
        <f>+VLOOKUP(V$1,'Componentes T.H.'!$B$4:$R$22,'Componentes T.H.'!$Q$1,0)*'Parametros Generales'!$C$6*'Cost x Depart'!Q430</f>
        <v>68688451.798541665</v>
      </c>
      <c r="W430" s="512">
        <f>+SUM(W431:W463)</f>
        <v>276017888.90499991</v>
      </c>
      <c r="X430" s="512">
        <f>+SUM(X431:X463)</f>
        <v>42814115.01622811</v>
      </c>
      <c r="Y430" s="391">
        <f>+VLOOKUP(C431,'Transporte y Viaticos'!$B$87:$F$120,2,0)*((O430/'Parametros Generales'!$J$14)+(Q430/'Parametros Generales'!$J$15)+(R430/'Parametros Generales'!$J$16))*'Parametros Generales'!$C$6</f>
        <v>2053617.9486761237</v>
      </c>
      <c r="Z430" s="391">
        <f>+(N430+O430+Q430)*'Parametros Generales'!$C$6*'Parametros Generales'!$J$7</f>
        <v>1666354.5</v>
      </c>
      <c r="AA430" s="391">
        <f>+SUM(N430:R430)*'Parametros Generales'!$C$6*'Parametros Generales'!$J$8</f>
        <v>11537362.5</v>
      </c>
      <c r="AB430" s="512">
        <f>+SUM(AB431:AB463)</f>
        <v>107120000.00000007</v>
      </c>
      <c r="AC430" s="512">
        <f>+SUM(AC431:AC463)</f>
        <v>405308716.10354489</v>
      </c>
      <c r="AD430" s="391">
        <f>+'Parametros Generales'!$J$11*SUM(N430:R430)</f>
        <v>2162211</v>
      </c>
      <c r="AE430" s="436">
        <f>+SUM(S430:AD430)</f>
        <v>941841527.20932412</v>
      </c>
      <c r="AF430" s="391">
        <f>+AE430*(SUM('Res de Costos Pais'!G117:G117))</f>
        <v>64516144.61383871</v>
      </c>
      <c r="AG430" s="391">
        <f>+AE430+AF430</f>
        <v>1006357671.8231628</v>
      </c>
      <c r="AH430" s="391">
        <f>+AG430*SUM('Res de Costos Pais'!$G$123:$G$124)</f>
        <v>9721415.109811753</v>
      </c>
      <c r="AI430" s="391">
        <f>+(AG430+AH430)*'Res de Costos Pais'!$G$136</f>
        <v>2743413.5347190313</v>
      </c>
      <c r="AJ430" s="391">
        <f>+(AG430+AH430+AI430)*'Res de Costos Pais'!$G$140</f>
        <v>4075290.0018707742</v>
      </c>
      <c r="AK430" s="391">
        <f>+AG430+AH430+AI430+AJ430</f>
        <v>1022897790.4695643</v>
      </c>
      <c r="AL430" s="820">
        <f>IF(ISERROR((+(AK430/H430)/'Parametros Generales'!$C$6)),0,(+(AK430/H430)/'Parametros Generales'!$C$6))</f>
        <v>37196.283289802333</v>
      </c>
    </row>
    <row r="431" spans="1:38" s="33" customFormat="1" hidden="1" outlineLevel="1">
      <c r="A431" s="1150"/>
      <c r="B431" s="819">
        <v>20</v>
      </c>
      <c r="C431" s="377" t="s">
        <v>293</v>
      </c>
      <c r="D431" s="378">
        <f>+VLOOKUP(E431,Codigos!$A$1:$B$1123,2,0)</f>
        <v>20001</v>
      </c>
      <c r="E431" s="1110" t="s">
        <v>1866</v>
      </c>
      <c r="F431" s="1102">
        <v>1</v>
      </c>
      <c r="G431" s="379">
        <v>1056</v>
      </c>
      <c r="H431" s="1060">
        <f>CEILING((G431+20),'Parametros Generales'!$C$8)</f>
        <v>1100</v>
      </c>
      <c r="I431" s="1083" t="s">
        <v>294</v>
      </c>
      <c r="J431" s="1058">
        <v>1100</v>
      </c>
      <c r="K431" s="1070" t="str">
        <f t="shared" si="29"/>
        <v>Ok</v>
      </c>
      <c r="L431" s="1077">
        <f t="shared" si="30"/>
        <v>0</v>
      </c>
      <c r="M431" s="1089">
        <f>+H431/'Parametros Generales'!$C$8</f>
        <v>44</v>
      </c>
      <c r="N431" s="1096"/>
      <c r="O431" s="1096"/>
      <c r="P431" s="1096"/>
      <c r="Q431" s="1096"/>
      <c r="R431" s="1096">
        <f>+(M431/'Parametros Generales'!$C$9)</f>
        <v>11</v>
      </c>
      <c r="S431" s="393"/>
      <c r="T431" s="393"/>
      <c r="U431" s="393"/>
      <c r="V431" s="394"/>
      <c r="W431" s="380">
        <f>+R431*'Componentes T.H.'!$Q$9*'Parametros Generales'!$C$6</f>
        <v>55203577.780999996</v>
      </c>
      <c r="X431" s="380">
        <f>(+VLOOKUP(C431,'Transporte y Viaticos'!$B$87:$L$120,2,0)*'Parametros Generales'!$C$7*R431)*(2/3)</f>
        <v>8562823.0032456219</v>
      </c>
      <c r="Y431" s="417"/>
      <c r="Z431" s="417"/>
      <c r="AA431" s="417"/>
      <c r="AB431" s="417">
        <f>+M431*'Parametros Generales'!$C$6*'Parametros Generales'!$J$9</f>
        <v>21424000.000000004</v>
      </c>
      <c r="AC431" s="417">
        <f>+H431*'Parametros Generales'!$J$10*'Parametros Generales'!$C$6*'Parametros Generales'!$C$11</f>
        <v>81061743.220708951</v>
      </c>
      <c r="AD431" s="417"/>
      <c r="AE431" s="417"/>
      <c r="AF431" s="417"/>
      <c r="AG431" s="417"/>
      <c r="AH431" s="417"/>
      <c r="AI431" s="417"/>
      <c r="AJ431" s="417"/>
      <c r="AK431" s="436"/>
      <c r="AL431" s="822"/>
    </row>
    <row r="432" spans="1:38" s="33" customFormat="1" hidden="1" outlineLevel="1">
      <c r="A432" s="1150"/>
      <c r="B432" s="821">
        <v>20</v>
      </c>
      <c r="C432" s="371" t="s">
        <v>293</v>
      </c>
      <c r="D432" s="31">
        <f>+VLOOKUP(E432,Codigos!$A$1:$B$1123,2,0)</f>
        <v>20011</v>
      </c>
      <c r="E432" s="1111" t="s">
        <v>1867</v>
      </c>
      <c r="F432" s="1103">
        <v>1</v>
      </c>
      <c r="G432" s="30">
        <v>198</v>
      </c>
      <c r="H432" s="1061">
        <f>CEILING(G432,'Parametros Generales'!$C$8)</f>
        <v>200</v>
      </c>
      <c r="I432" s="1057" t="s">
        <v>295</v>
      </c>
      <c r="J432" s="1058">
        <v>200</v>
      </c>
      <c r="K432" s="1070" t="str">
        <f t="shared" si="29"/>
        <v>Ok</v>
      </c>
      <c r="L432" s="1077">
        <f t="shared" si="30"/>
        <v>0</v>
      </c>
      <c r="M432" s="1090">
        <f>+H432/'Parametros Generales'!$C$8</f>
        <v>8</v>
      </c>
      <c r="N432" s="1097"/>
      <c r="O432" s="1097"/>
      <c r="P432" s="1097"/>
      <c r="Q432" s="1097"/>
      <c r="R432" s="1097">
        <f>+(M432/'Parametros Generales'!$C$9)</f>
        <v>2</v>
      </c>
      <c r="S432" s="390"/>
      <c r="T432" s="390"/>
      <c r="U432" s="390"/>
      <c r="V432" s="389"/>
      <c r="W432" s="32">
        <f>+R432*'Componentes T.H.'!$Q$9*'Parametros Generales'!$C$6</f>
        <v>10037014.142000001</v>
      </c>
      <c r="X432" s="32">
        <f>(+VLOOKUP(C432,'Transporte y Viaticos'!$B$87:$L$120,2,0)*'Parametros Generales'!$C$7*R432)*(2/3)</f>
        <v>1556876.9096810224</v>
      </c>
      <c r="Y432" s="417"/>
      <c r="Z432" s="417"/>
      <c r="AA432" s="417"/>
      <c r="AB432" s="417">
        <f>+M432*'Parametros Generales'!$C$6*'Parametros Generales'!$J$9</f>
        <v>3895272.7272727285</v>
      </c>
      <c r="AC432" s="417">
        <f>+H432*'Parametros Generales'!$J$10*'Parametros Generales'!$C$6*'Parametros Generales'!$C$11</f>
        <v>14738498.767401624</v>
      </c>
      <c r="AD432" s="417"/>
      <c r="AE432" s="417"/>
      <c r="AF432" s="417"/>
      <c r="AG432" s="417"/>
      <c r="AH432" s="417"/>
      <c r="AI432" s="417"/>
      <c r="AJ432" s="417"/>
      <c r="AK432" s="436"/>
      <c r="AL432" s="822"/>
    </row>
    <row r="433" spans="1:38" s="33" customFormat="1" hidden="1" outlineLevel="1">
      <c r="A433" s="1150"/>
      <c r="B433" s="821">
        <v>20</v>
      </c>
      <c r="C433" s="371" t="s">
        <v>293</v>
      </c>
      <c r="D433" s="31">
        <f>+VLOOKUP(E433,Codigos!$A$1:$B$1123,2,0)</f>
        <v>20013</v>
      </c>
      <c r="E433" s="1111" t="s">
        <v>1868</v>
      </c>
      <c r="F433" s="1103">
        <v>1</v>
      </c>
      <c r="G433" s="30">
        <v>198</v>
      </c>
      <c r="H433" s="1061">
        <f>CEILING(G433,'Parametros Generales'!$C$8)</f>
        <v>200</v>
      </c>
      <c r="I433" s="1057" t="s">
        <v>296</v>
      </c>
      <c r="J433" s="1058">
        <v>200</v>
      </c>
      <c r="K433" s="1070" t="str">
        <f t="shared" si="29"/>
        <v>Ok</v>
      </c>
      <c r="L433" s="1077">
        <f t="shared" si="30"/>
        <v>0</v>
      </c>
      <c r="M433" s="1090">
        <f>+H433/'Parametros Generales'!$C$8</f>
        <v>8</v>
      </c>
      <c r="N433" s="1097"/>
      <c r="O433" s="1097"/>
      <c r="P433" s="1097"/>
      <c r="Q433" s="1097"/>
      <c r="R433" s="1097">
        <f>+(M433/'Parametros Generales'!$C$9)</f>
        <v>2</v>
      </c>
      <c r="S433" s="390"/>
      <c r="T433" s="390"/>
      <c r="U433" s="390"/>
      <c r="V433" s="389"/>
      <c r="W433" s="32">
        <f>+R433*'Componentes T.H.'!$Q$9*'Parametros Generales'!$C$6</f>
        <v>10037014.142000001</v>
      </c>
      <c r="X433" s="32">
        <f>(+VLOOKUP(C433,'Transporte y Viaticos'!$B$87:$L$120,2,0)*'Parametros Generales'!$C$7*R433)*(2/3)</f>
        <v>1556876.9096810224</v>
      </c>
      <c r="Y433" s="417"/>
      <c r="Z433" s="417"/>
      <c r="AA433" s="417"/>
      <c r="AB433" s="417">
        <f>+M433*'Parametros Generales'!$C$6*'Parametros Generales'!$J$9</f>
        <v>3895272.7272727285</v>
      </c>
      <c r="AC433" s="417">
        <f>+H433*'Parametros Generales'!$J$10*'Parametros Generales'!$C$6*'Parametros Generales'!$C$11</f>
        <v>14738498.767401624</v>
      </c>
      <c r="AD433" s="417"/>
      <c r="AE433" s="417"/>
      <c r="AF433" s="417"/>
      <c r="AG433" s="417"/>
      <c r="AH433" s="417"/>
      <c r="AI433" s="417"/>
      <c r="AJ433" s="417"/>
      <c r="AK433" s="436"/>
      <c r="AL433" s="822"/>
    </row>
    <row r="434" spans="1:38" s="33" customFormat="1" hidden="1" outlineLevel="1">
      <c r="A434" s="1150"/>
      <c r="B434" s="821">
        <v>20</v>
      </c>
      <c r="C434" s="371" t="s">
        <v>293</v>
      </c>
      <c r="D434" s="31">
        <f>+VLOOKUP(E434,Codigos!$A$1:$B$1123,2,0)</f>
        <v>20032</v>
      </c>
      <c r="E434" s="1111" t="s">
        <v>1869</v>
      </c>
      <c r="F434" s="1103">
        <v>1</v>
      </c>
      <c r="G434" s="30">
        <v>198</v>
      </c>
      <c r="H434" s="1061">
        <f>CEILING(G434,'Parametros Generales'!$C$8)</f>
        <v>200</v>
      </c>
      <c r="I434" s="1057" t="s">
        <v>297</v>
      </c>
      <c r="J434" s="1058">
        <v>200</v>
      </c>
      <c r="K434" s="1070" t="str">
        <f t="shared" si="29"/>
        <v>Ok</v>
      </c>
      <c r="L434" s="1077">
        <f t="shared" si="30"/>
        <v>0</v>
      </c>
      <c r="M434" s="1090">
        <f>+H434/'Parametros Generales'!$C$8</f>
        <v>8</v>
      </c>
      <c r="N434" s="1097"/>
      <c r="O434" s="1097"/>
      <c r="P434" s="1097"/>
      <c r="Q434" s="1097"/>
      <c r="R434" s="1097">
        <f>+(M434/'Parametros Generales'!$C$9)</f>
        <v>2</v>
      </c>
      <c r="S434" s="390"/>
      <c r="T434" s="390"/>
      <c r="U434" s="390"/>
      <c r="V434" s="389"/>
      <c r="W434" s="32">
        <f>+R434*'Componentes T.H.'!$Q$9*'Parametros Generales'!$C$6</f>
        <v>10037014.142000001</v>
      </c>
      <c r="X434" s="32">
        <f>(+VLOOKUP(C434,'Transporte y Viaticos'!$B$87:$L$120,2,0)*'Parametros Generales'!$C$7*R434)*(2/3)</f>
        <v>1556876.9096810224</v>
      </c>
      <c r="Y434" s="417"/>
      <c r="Z434" s="417"/>
      <c r="AA434" s="417"/>
      <c r="AB434" s="417">
        <f>+M434*'Parametros Generales'!$C$6*'Parametros Generales'!$J$9</f>
        <v>3895272.7272727285</v>
      </c>
      <c r="AC434" s="417">
        <f>+H434*'Parametros Generales'!$J$10*'Parametros Generales'!$C$6*'Parametros Generales'!$C$11</f>
        <v>14738498.767401624</v>
      </c>
      <c r="AD434" s="417"/>
      <c r="AE434" s="417"/>
      <c r="AF434" s="417"/>
      <c r="AG434" s="417"/>
      <c r="AH434" s="417"/>
      <c r="AI434" s="417"/>
      <c r="AJ434" s="417"/>
      <c r="AK434" s="436"/>
      <c r="AL434" s="822"/>
    </row>
    <row r="435" spans="1:38" s="33" customFormat="1" hidden="1" outlineLevel="1">
      <c r="A435" s="1150"/>
      <c r="B435" s="821">
        <v>20</v>
      </c>
      <c r="C435" s="371" t="s">
        <v>293</v>
      </c>
      <c r="D435" s="31">
        <f>+VLOOKUP(E435,Codigos!$A$1:$B$1123,2,0)</f>
        <v>20045</v>
      </c>
      <c r="E435" s="1111" t="s">
        <v>1870</v>
      </c>
      <c r="F435" s="1103">
        <v>1</v>
      </c>
      <c r="G435" s="30">
        <v>198</v>
      </c>
      <c r="H435" s="1061">
        <f>CEILING(G435,'Parametros Generales'!$C$8)</f>
        <v>200</v>
      </c>
      <c r="I435" s="1057" t="s">
        <v>298</v>
      </c>
      <c r="J435" s="1058">
        <v>200</v>
      </c>
      <c r="K435" s="1070" t="str">
        <f t="shared" si="29"/>
        <v>Ok</v>
      </c>
      <c r="L435" s="1077">
        <f t="shared" si="30"/>
        <v>0</v>
      </c>
      <c r="M435" s="1090">
        <f>+H435/'Parametros Generales'!$C$8</f>
        <v>8</v>
      </c>
      <c r="N435" s="1097"/>
      <c r="O435" s="1097"/>
      <c r="P435" s="1097"/>
      <c r="Q435" s="1097"/>
      <c r="R435" s="1097">
        <f>+(M435/'Parametros Generales'!$C$9)</f>
        <v>2</v>
      </c>
      <c r="S435" s="390"/>
      <c r="T435" s="390"/>
      <c r="U435" s="390"/>
      <c r="V435" s="389"/>
      <c r="W435" s="32">
        <f>+R435*'Componentes T.H.'!$Q$9*'Parametros Generales'!$C$6</f>
        <v>10037014.142000001</v>
      </c>
      <c r="X435" s="32">
        <f>(+VLOOKUP(C435,'Transporte y Viaticos'!$B$87:$L$120,2,0)*'Parametros Generales'!$C$7*R435)*(2/3)</f>
        <v>1556876.9096810224</v>
      </c>
      <c r="Y435" s="417"/>
      <c r="Z435" s="417"/>
      <c r="AA435" s="417"/>
      <c r="AB435" s="417">
        <f>+M435*'Parametros Generales'!$C$6*'Parametros Generales'!$J$9</f>
        <v>3895272.7272727285</v>
      </c>
      <c r="AC435" s="417">
        <f>+H435*'Parametros Generales'!$J$10*'Parametros Generales'!$C$6*'Parametros Generales'!$C$11</f>
        <v>14738498.767401624</v>
      </c>
      <c r="AD435" s="417"/>
      <c r="AE435" s="417"/>
      <c r="AF435" s="417"/>
      <c r="AG435" s="417"/>
      <c r="AH435" s="417"/>
      <c r="AI435" s="417"/>
      <c r="AJ435" s="417"/>
      <c r="AK435" s="436"/>
      <c r="AL435" s="822"/>
    </row>
    <row r="436" spans="1:38" s="33" customFormat="1" hidden="1" outlineLevel="1">
      <c r="A436" s="1150"/>
      <c r="B436" s="821">
        <v>20</v>
      </c>
      <c r="C436" s="371" t="s">
        <v>293</v>
      </c>
      <c r="D436" s="31">
        <f>+VLOOKUP(E436,Codigos!$A$1:$B$1123,2,0)</f>
        <v>20060</v>
      </c>
      <c r="E436" s="1111" t="s">
        <v>1871</v>
      </c>
      <c r="F436" s="1103">
        <v>1</v>
      </c>
      <c r="G436" s="30">
        <v>198</v>
      </c>
      <c r="H436" s="1061">
        <f>CEILING(G436,'Parametros Generales'!$C$8)</f>
        <v>200</v>
      </c>
      <c r="I436" s="1057" t="s">
        <v>299</v>
      </c>
      <c r="J436" s="1058">
        <v>200</v>
      </c>
      <c r="K436" s="1070" t="str">
        <f t="shared" si="29"/>
        <v>Ok</v>
      </c>
      <c r="L436" s="1077">
        <f t="shared" si="30"/>
        <v>0</v>
      </c>
      <c r="M436" s="1090">
        <f>+H436/'Parametros Generales'!$C$8</f>
        <v>8</v>
      </c>
      <c r="N436" s="1097"/>
      <c r="O436" s="1097"/>
      <c r="P436" s="1097"/>
      <c r="Q436" s="1097"/>
      <c r="R436" s="1097">
        <f>+(M436/'Parametros Generales'!$C$9)</f>
        <v>2</v>
      </c>
      <c r="S436" s="390"/>
      <c r="T436" s="390"/>
      <c r="U436" s="390"/>
      <c r="V436" s="389"/>
      <c r="W436" s="32">
        <f>+R436*'Componentes T.H.'!$Q$9*'Parametros Generales'!$C$6</f>
        <v>10037014.142000001</v>
      </c>
      <c r="X436" s="32">
        <f>(+VLOOKUP(C436,'Transporte y Viaticos'!$B$87:$L$120,2,0)*'Parametros Generales'!$C$7*R436)*(2/3)</f>
        <v>1556876.9096810224</v>
      </c>
      <c r="Y436" s="417"/>
      <c r="Z436" s="417"/>
      <c r="AA436" s="417"/>
      <c r="AB436" s="417">
        <f>+M436*'Parametros Generales'!$C$6*'Parametros Generales'!$J$9</f>
        <v>3895272.7272727285</v>
      </c>
      <c r="AC436" s="417">
        <f>+H436*'Parametros Generales'!$J$10*'Parametros Generales'!$C$6*'Parametros Generales'!$C$11</f>
        <v>14738498.767401624</v>
      </c>
      <c r="AD436" s="417"/>
      <c r="AE436" s="417"/>
      <c r="AF436" s="417"/>
      <c r="AG436" s="417"/>
      <c r="AH436" s="417"/>
      <c r="AI436" s="417"/>
      <c r="AJ436" s="417"/>
      <c r="AK436" s="436"/>
      <c r="AL436" s="822"/>
    </row>
    <row r="437" spans="1:38" s="33" customFormat="1" hidden="1" outlineLevel="1">
      <c r="A437" s="1150"/>
      <c r="B437" s="821">
        <v>20</v>
      </c>
      <c r="C437" s="371" t="s">
        <v>293</v>
      </c>
      <c r="D437" s="31">
        <f>+VLOOKUP(E437,Codigos!$A$1:$B$1123,2,0)</f>
        <v>20175</v>
      </c>
      <c r="E437" s="1111" t="s">
        <v>1872</v>
      </c>
      <c r="F437" s="1103">
        <v>1</v>
      </c>
      <c r="G437" s="30">
        <v>198</v>
      </c>
      <c r="H437" s="1061">
        <f>CEILING(G437,'Parametros Generales'!$C$8)</f>
        <v>200</v>
      </c>
      <c r="I437" s="1057" t="s">
        <v>300</v>
      </c>
      <c r="J437" s="1058">
        <v>200</v>
      </c>
      <c r="K437" s="1070" t="str">
        <f t="shared" si="29"/>
        <v>Ok</v>
      </c>
      <c r="L437" s="1077">
        <f t="shared" si="30"/>
        <v>0</v>
      </c>
      <c r="M437" s="1090">
        <f>+H437/'Parametros Generales'!$C$8</f>
        <v>8</v>
      </c>
      <c r="N437" s="1097"/>
      <c r="O437" s="1097"/>
      <c r="P437" s="1097"/>
      <c r="Q437" s="1097"/>
      <c r="R437" s="1097">
        <f>+(M437/'Parametros Generales'!$C$9)</f>
        <v>2</v>
      </c>
      <c r="S437" s="390"/>
      <c r="T437" s="390"/>
      <c r="U437" s="390"/>
      <c r="V437" s="389"/>
      <c r="W437" s="32">
        <f>+R437*'Componentes T.H.'!$Q$9*'Parametros Generales'!$C$6</f>
        <v>10037014.142000001</v>
      </c>
      <c r="X437" s="32">
        <f>(+VLOOKUP(C437,'Transporte y Viaticos'!$B$87:$L$120,2,0)*'Parametros Generales'!$C$7*R437)*(2/3)</f>
        <v>1556876.9096810224</v>
      </c>
      <c r="Y437" s="417"/>
      <c r="Z437" s="417"/>
      <c r="AA437" s="417"/>
      <c r="AB437" s="417">
        <f>+M437*'Parametros Generales'!$C$6*'Parametros Generales'!$J$9</f>
        <v>3895272.7272727285</v>
      </c>
      <c r="AC437" s="417">
        <f>+H437*'Parametros Generales'!$J$10*'Parametros Generales'!$C$6*'Parametros Generales'!$C$11</f>
        <v>14738498.767401624</v>
      </c>
      <c r="AD437" s="417"/>
      <c r="AE437" s="417"/>
      <c r="AF437" s="417"/>
      <c r="AG437" s="417"/>
      <c r="AH437" s="417"/>
      <c r="AI437" s="417"/>
      <c r="AJ437" s="417"/>
      <c r="AK437" s="436"/>
      <c r="AL437" s="822"/>
    </row>
    <row r="438" spans="1:38" s="33" customFormat="1" hidden="1" outlineLevel="1">
      <c r="A438" s="1150"/>
      <c r="B438" s="821">
        <v>20</v>
      </c>
      <c r="C438" s="371" t="s">
        <v>293</v>
      </c>
      <c r="D438" s="31">
        <f>+VLOOKUP(E438,Codigos!$A$1:$B$1123,2,0)</f>
        <v>20178</v>
      </c>
      <c r="E438" s="1111" t="s">
        <v>1873</v>
      </c>
      <c r="F438" s="1103">
        <v>1</v>
      </c>
      <c r="G438" s="30">
        <v>198</v>
      </c>
      <c r="H438" s="1061">
        <f>CEILING(G438,'Parametros Generales'!$C$8)</f>
        <v>200</v>
      </c>
      <c r="I438" s="1057" t="s">
        <v>301</v>
      </c>
      <c r="J438" s="1058">
        <v>200</v>
      </c>
      <c r="K438" s="1070" t="str">
        <f t="shared" si="29"/>
        <v>Ok</v>
      </c>
      <c r="L438" s="1077">
        <f t="shared" si="30"/>
        <v>0</v>
      </c>
      <c r="M438" s="1090">
        <f>+H438/'Parametros Generales'!$C$8</f>
        <v>8</v>
      </c>
      <c r="N438" s="1097"/>
      <c r="O438" s="1097"/>
      <c r="P438" s="1097"/>
      <c r="Q438" s="1097"/>
      <c r="R438" s="1097">
        <f>+(M438/'Parametros Generales'!$C$9)</f>
        <v>2</v>
      </c>
      <c r="S438" s="390"/>
      <c r="T438" s="390"/>
      <c r="U438" s="390"/>
      <c r="V438" s="389"/>
      <c r="W438" s="32">
        <f>+R438*'Componentes T.H.'!$Q$9*'Parametros Generales'!$C$6</f>
        <v>10037014.142000001</v>
      </c>
      <c r="X438" s="32">
        <f>(+VLOOKUP(C438,'Transporte y Viaticos'!$B$87:$L$120,2,0)*'Parametros Generales'!$C$7*R438)*(2/3)</f>
        <v>1556876.9096810224</v>
      </c>
      <c r="Y438" s="417"/>
      <c r="Z438" s="417"/>
      <c r="AA438" s="417"/>
      <c r="AB438" s="417">
        <f>+M438*'Parametros Generales'!$C$6*'Parametros Generales'!$J$9</f>
        <v>3895272.7272727285</v>
      </c>
      <c r="AC438" s="417">
        <f>+H438*'Parametros Generales'!$J$10*'Parametros Generales'!$C$6*'Parametros Generales'!$C$11</f>
        <v>14738498.767401624</v>
      </c>
      <c r="AD438" s="417"/>
      <c r="AE438" s="417"/>
      <c r="AF438" s="417"/>
      <c r="AG438" s="417"/>
      <c r="AH438" s="417"/>
      <c r="AI438" s="417"/>
      <c r="AJ438" s="417"/>
      <c r="AK438" s="436"/>
      <c r="AL438" s="822"/>
    </row>
    <row r="439" spans="1:38" s="33" customFormat="1" hidden="1" outlineLevel="1">
      <c r="A439" s="1150"/>
      <c r="B439" s="821">
        <v>20</v>
      </c>
      <c r="C439" s="371" t="s">
        <v>293</v>
      </c>
      <c r="D439" s="31">
        <f>+VLOOKUP(E439,Codigos!$A$1:$B$1123,2,0)</f>
        <v>20228</v>
      </c>
      <c r="E439" s="1111" t="s">
        <v>1874</v>
      </c>
      <c r="F439" s="1103">
        <v>1</v>
      </c>
      <c r="G439" s="30">
        <v>198</v>
      </c>
      <c r="H439" s="1061">
        <f>CEILING(G439,'Parametros Generales'!$C$8)</f>
        <v>200</v>
      </c>
      <c r="I439" s="1057" t="s">
        <v>302</v>
      </c>
      <c r="J439" s="1058">
        <v>200</v>
      </c>
      <c r="K439" s="1070" t="str">
        <f t="shared" si="29"/>
        <v>Ok</v>
      </c>
      <c r="L439" s="1077">
        <f t="shared" si="30"/>
        <v>0</v>
      </c>
      <c r="M439" s="1090">
        <f>+H439/'Parametros Generales'!$C$8</f>
        <v>8</v>
      </c>
      <c r="N439" s="1097"/>
      <c r="O439" s="1097"/>
      <c r="P439" s="1097"/>
      <c r="Q439" s="1097"/>
      <c r="R439" s="1097">
        <f>+(M439/'Parametros Generales'!$C$9)</f>
        <v>2</v>
      </c>
      <c r="S439" s="390"/>
      <c r="T439" s="390"/>
      <c r="U439" s="390"/>
      <c r="V439" s="389"/>
      <c r="W439" s="32">
        <f>+R439*'Componentes T.H.'!$Q$9*'Parametros Generales'!$C$6</f>
        <v>10037014.142000001</v>
      </c>
      <c r="X439" s="32">
        <f>(+VLOOKUP(C439,'Transporte y Viaticos'!$B$87:$L$120,2,0)*'Parametros Generales'!$C$7*R439)*(2/3)</f>
        <v>1556876.9096810224</v>
      </c>
      <c r="Y439" s="417"/>
      <c r="Z439" s="417"/>
      <c r="AA439" s="417"/>
      <c r="AB439" s="417">
        <f>+M439*'Parametros Generales'!$C$6*'Parametros Generales'!$J$9</f>
        <v>3895272.7272727285</v>
      </c>
      <c r="AC439" s="417">
        <f>+H439*'Parametros Generales'!$J$10*'Parametros Generales'!$C$6*'Parametros Generales'!$C$11</f>
        <v>14738498.767401624</v>
      </c>
      <c r="AD439" s="417"/>
      <c r="AE439" s="417"/>
      <c r="AF439" s="417"/>
      <c r="AG439" s="417"/>
      <c r="AH439" s="417"/>
      <c r="AI439" s="417"/>
      <c r="AJ439" s="417"/>
      <c r="AK439" s="436"/>
      <c r="AL439" s="822"/>
    </row>
    <row r="440" spans="1:38" s="33" customFormat="1" hidden="1" outlineLevel="1">
      <c r="A440" s="1150"/>
      <c r="B440" s="821">
        <v>20</v>
      </c>
      <c r="C440" s="371" t="s">
        <v>293</v>
      </c>
      <c r="D440" s="31">
        <f>+VLOOKUP(E440,Codigos!$A$1:$B$1123,2,0)</f>
        <v>20238</v>
      </c>
      <c r="E440" s="1111" t="s">
        <v>1875</v>
      </c>
      <c r="F440" s="1103">
        <v>1</v>
      </c>
      <c r="G440" s="30">
        <v>198</v>
      </c>
      <c r="H440" s="1061">
        <f>CEILING(G440,'Parametros Generales'!$C$8)</f>
        <v>200</v>
      </c>
      <c r="I440" s="1057" t="s">
        <v>303</v>
      </c>
      <c r="J440" s="1058">
        <v>200</v>
      </c>
      <c r="K440" s="1070" t="str">
        <f t="shared" si="29"/>
        <v>Ok</v>
      </c>
      <c r="L440" s="1077">
        <f t="shared" si="30"/>
        <v>0</v>
      </c>
      <c r="M440" s="1090">
        <f>+H440/'Parametros Generales'!$C$8</f>
        <v>8</v>
      </c>
      <c r="N440" s="1097"/>
      <c r="O440" s="1097"/>
      <c r="P440" s="1097"/>
      <c r="Q440" s="1097"/>
      <c r="R440" s="1097">
        <f>+(M440/'Parametros Generales'!$C$9)</f>
        <v>2</v>
      </c>
      <c r="S440" s="390"/>
      <c r="T440" s="390"/>
      <c r="U440" s="390"/>
      <c r="V440" s="389"/>
      <c r="W440" s="32">
        <f>+R440*'Componentes T.H.'!$Q$9*'Parametros Generales'!$C$6</f>
        <v>10037014.142000001</v>
      </c>
      <c r="X440" s="32">
        <f>(+VLOOKUP(C440,'Transporte y Viaticos'!$B$87:$L$120,2,0)*'Parametros Generales'!$C$7*R440)*(2/3)</f>
        <v>1556876.9096810224</v>
      </c>
      <c r="Y440" s="417"/>
      <c r="Z440" s="417"/>
      <c r="AA440" s="417"/>
      <c r="AB440" s="417">
        <f>+M440*'Parametros Generales'!$C$6*'Parametros Generales'!$J$9</f>
        <v>3895272.7272727285</v>
      </c>
      <c r="AC440" s="417">
        <f>+H440*'Parametros Generales'!$J$10*'Parametros Generales'!$C$6*'Parametros Generales'!$C$11</f>
        <v>14738498.767401624</v>
      </c>
      <c r="AD440" s="417"/>
      <c r="AE440" s="417"/>
      <c r="AF440" s="417"/>
      <c r="AG440" s="417"/>
      <c r="AH440" s="417"/>
      <c r="AI440" s="417"/>
      <c r="AJ440" s="417"/>
      <c r="AK440" s="436"/>
      <c r="AL440" s="822"/>
    </row>
    <row r="441" spans="1:38" s="33" customFormat="1" hidden="1" outlineLevel="1">
      <c r="A441" s="1150"/>
      <c r="B441" s="821">
        <v>20</v>
      </c>
      <c r="C441" s="371" t="s">
        <v>293</v>
      </c>
      <c r="D441" s="31">
        <f>+VLOOKUP(E441,Codigos!$A$1:$B$1123,2,0)</f>
        <v>20250</v>
      </c>
      <c r="E441" s="1111" t="s">
        <v>1876</v>
      </c>
      <c r="F441" s="1103">
        <v>1</v>
      </c>
      <c r="G441" s="30">
        <v>198</v>
      </c>
      <c r="H441" s="1061">
        <f>CEILING(G441,'Parametros Generales'!$C$8)</f>
        <v>200</v>
      </c>
      <c r="I441" s="1057" t="s">
        <v>304</v>
      </c>
      <c r="J441" s="1058">
        <v>200</v>
      </c>
      <c r="K441" s="1070" t="str">
        <f t="shared" si="29"/>
        <v>Ok</v>
      </c>
      <c r="L441" s="1077">
        <f t="shared" si="30"/>
        <v>0</v>
      </c>
      <c r="M441" s="1090">
        <f>+H441/'Parametros Generales'!$C$8</f>
        <v>8</v>
      </c>
      <c r="N441" s="1097"/>
      <c r="O441" s="1097"/>
      <c r="P441" s="1097"/>
      <c r="Q441" s="1097"/>
      <c r="R441" s="1097">
        <f>+(M441/'Parametros Generales'!$C$9)</f>
        <v>2</v>
      </c>
      <c r="S441" s="390"/>
      <c r="T441" s="390"/>
      <c r="U441" s="390"/>
      <c r="V441" s="389"/>
      <c r="W441" s="32">
        <f>+R441*'Componentes T.H.'!$Q$9*'Parametros Generales'!$C$6</f>
        <v>10037014.142000001</v>
      </c>
      <c r="X441" s="32">
        <f>(+VLOOKUP(C441,'Transporte y Viaticos'!$B$87:$L$120,2,0)*'Parametros Generales'!$C$7*R441)*(2/3)</f>
        <v>1556876.9096810224</v>
      </c>
      <c r="Y441" s="417"/>
      <c r="Z441" s="417"/>
      <c r="AA441" s="417"/>
      <c r="AB441" s="417">
        <f>+M441*'Parametros Generales'!$C$6*'Parametros Generales'!$J$9</f>
        <v>3895272.7272727285</v>
      </c>
      <c r="AC441" s="417">
        <f>+H441*'Parametros Generales'!$J$10*'Parametros Generales'!$C$6*'Parametros Generales'!$C$11</f>
        <v>14738498.767401624</v>
      </c>
      <c r="AD441" s="417"/>
      <c r="AE441" s="417"/>
      <c r="AF441" s="417"/>
      <c r="AG441" s="417"/>
      <c r="AH441" s="417"/>
      <c r="AI441" s="417"/>
      <c r="AJ441" s="417"/>
      <c r="AK441" s="436"/>
      <c r="AL441" s="822"/>
    </row>
    <row r="442" spans="1:38" s="33" customFormat="1" hidden="1" outlineLevel="1">
      <c r="A442" s="1150"/>
      <c r="B442" s="821">
        <v>20</v>
      </c>
      <c r="C442" s="371" t="s">
        <v>293</v>
      </c>
      <c r="D442" s="31">
        <f>+VLOOKUP(E442,Codigos!$A$1:$B$1123,2,0)</f>
        <v>20295</v>
      </c>
      <c r="E442" s="1111" t="s">
        <v>1877</v>
      </c>
      <c r="F442" s="1103">
        <v>1</v>
      </c>
      <c r="G442" s="30">
        <v>198</v>
      </c>
      <c r="H442" s="1061">
        <f>CEILING(G442,'Parametros Generales'!$C$8)</f>
        <v>200</v>
      </c>
      <c r="I442" s="1057" t="s">
        <v>305</v>
      </c>
      <c r="J442" s="1058">
        <v>200</v>
      </c>
      <c r="K442" s="1070" t="str">
        <f t="shared" si="29"/>
        <v>Ok</v>
      </c>
      <c r="L442" s="1077">
        <f t="shared" si="30"/>
        <v>0</v>
      </c>
      <c r="M442" s="1090">
        <f>+H442/'Parametros Generales'!$C$8</f>
        <v>8</v>
      </c>
      <c r="N442" s="1097"/>
      <c r="O442" s="1097"/>
      <c r="P442" s="1097"/>
      <c r="Q442" s="1097"/>
      <c r="R442" s="1097">
        <f>+(M442/'Parametros Generales'!$C$9)</f>
        <v>2</v>
      </c>
      <c r="S442" s="390"/>
      <c r="T442" s="390"/>
      <c r="U442" s="390"/>
      <c r="V442" s="389"/>
      <c r="W442" s="32">
        <f>+R442*'Componentes T.H.'!$Q$9*'Parametros Generales'!$C$6</f>
        <v>10037014.142000001</v>
      </c>
      <c r="X442" s="32">
        <f>(+VLOOKUP(C442,'Transporte y Viaticos'!$B$87:$L$120,2,0)*'Parametros Generales'!$C$7*R442)*(2/3)</f>
        <v>1556876.9096810224</v>
      </c>
      <c r="Y442" s="417"/>
      <c r="Z442" s="417"/>
      <c r="AA442" s="417"/>
      <c r="AB442" s="417">
        <f>+M442*'Parametros Generales'!$C$6*'Parametros Generales'!$J$9</f>
        <v>3895272.7272727285</v>
      </c>
      <c r="AC442" s="417">
        <f>+H442*'Parametros Generales'!$J$10*'Parametros Generales'!$C$6*'Parametros Generales'!$C$11</f>
        <v>14738498.767401624</v>
      </c>
      <c r="AD442" s="417"/>
      <c r="AE442" s="417"/>
      <c r="AF442" s="417"/>
      <c r="AG442" s="417"/>
      <c r="AH442" s="417"/>
      <c r="AI442" s="417"/>
      <c r="AJ442" s="417"/>
      <c r="AK442" s="436"/>
      <c r="AL442" s="822"/>
    </row>
    <row r="443" spans="1:38" s="33" customFormat="1" hidden="1" outlineLevel="1">
      <c r="A443" s="1150"/>
      <c r="B443" s="821">
        <v>20</v>
      </c>
      <c r="C443" s="371" t="s">
        <v>293</v>
      </c>
      <c r="D443" s="31">
        <f>+VLOOKUP(E443,Codigos!$A$1:$B$1123,2,0)</f>
        <v>20400</v>
      </c>
      <c r="E443" s="1111" t="s">
        <v>1878</v>
      </c>
      <c r="F443" s="1103">
        <v>1</v>
      </c>
      <c r="G443" s="30">
        <v>198</v>
      </c>
      <c r="H443" s="1061">
        <f>CEILING(G443,'Parametros Generales'!$C$8)</f>
        <v>200</v>
      </c>
      <c r="I443" s="1057" t="s">
        <v>306</v>
      </c>
      <c r="J443" s="1058">
        <v>200</v>
      </c>
      <c r="K443" s="1070" t="str">
        <f t="shared" si="29"/>
        <v>Ok</v>
      </c>
      <c r="L443" s="1077">
        <f t="shared" si="30"/>
        <v>0</v>
      </c>
      <c r="M443" s="1090">
        <f>+H443/'Parametros Generales'!$C$8</f>
        <v>8</v>
      </c>
      <c r="N443" s="1097"/>
      <c r="O443" s="1097"/>
      <c r="P443" s="1097"/>
      <c r="Q443" s="1097"/>
      <c r="R443" s="1097">
        <f>+(M443/'Parametros Generales'!$C$9)</f>
        <v>2</v>
      </c>
      <c r="S443" s="390"/>
      <c r="T443" s="390"/>
      <c r="U443" s="390"/>
      <c r="V443" s="389"/>
      <c r="W443" s="32">
        <f>+R443*'Componentes T.H.'!$Q$9*'Parametros Generales'!$C$6</f>
        <v>10037014.142000001</v>
      </c>
      <c r="X443" s="32">
        <f>(+VLOOKUP(C443,'Transporte y Viaticos'!$B$87:$L$120,2,0)*'Parametros Generales'!$C$7*R443)*(2/3)</f>
        <v>1556876.9096810224</v>
      </c>
      <c r="Y443" s="417"/>
      <c r="Z443" s="417"/>
      <c r="AA443" s="417"/>
      <c r="AB443" s="417">
        <f>+M443*'Parametros Generales'!$C$6*'Parametros Generales'!$J$9</f>
        <v>3895272.7272727285</v>
      </c>
      <c r="AC443" s="417">
        <f>+H443*'Parametros Generales'!$J$10*'Parametros Generales'!$C$6*'Parametros Generales'!$C$11</f>
        <v>14738498.767401624</v>
      </c>
      <c r="AD443" s="417"/>
      <c r="AE443" s="417"/>
      <c r="AF443" s="417"/>
      <c r="AG443" s="417"/>
      <c r="AH443" s="417"/>
      <c r="AI443" s="417"/>
      <c r="AJ443" s="417"/>
      <c r="AK443" s="436"/>
      <c r="AL443" s="822"/>
    </row>
    <row r="444" spans="1:38" s="33" customFormat="1" hidden="1" outlineLevel="1">
      <c r="A444" s="1150"/>
      <c r="B444" s="821">
        <v>20</v>
      </c>
      <c r="C444" s="371" t="s">
        <v>293</v>
      </c>
      <c r="D444" s="31">
        <f>+VLOOKUP(E444,Codigos!$A$1:$B$1123,2,0)</f>
        <v>20621</v>
      </c>
      <c r="E444" s="1111" t="s">
        <v>1879</v>
      </c>
      <c r="F444" s="1103">
        <v>1</v>
      </c>
      <c r="G444" s="30">
        <v>198</v>
      </c>
      <c r="H444" s="1061">
        <f>CEILING(G444,'Parametros Generales'!$C$8)</f>
        <v>200</v>
      </c>
      <c r="I444" s="1057" t="s">
        <v>307</v>
      </c>
      <c r="J444" s="1058">
        <v>200</v>
      </c>
      <c r="K444" s="1070" t="str">
        <f t="shared" si="29"/>
        <v>Ok</v>
      </c>
      <c r="L444" s="1077">
        <f t="shared" si="30"/>
        <v>0</v>
      </c>
      <c r="M444" s="1090">
        <f>+H444/'Parametros Generales'!$C$8</f>
        <v>8</v>
      </c>
      <c r="N444" s="1097"/>
      <c r="O444" s="1097"/>
      <c r="P444" s="1097"/>
      <c r="Q444" s="1097"/>
      <c r="R444" s="1097">
        <f>+(M444/'Parametros Generales'!$C$9)</f>
        <v>2</v>
      </c>
      <c r="S444" s="390"/>
      <c r="T444" s="390"/>
      <c r="U444" s="390"/>
      <c r="V444" s="389"/>
      <c r="W444" s="32">
        <f>+R444*'Componentes T.H.'!$Q$9*'Parametros Generales'!$C$6</f>
        <v>10037014.142000001</v>
      </c>
      <c r="X444" s="32">
        <f>(+VLOOKUP(C444,'Transporte y Viaticos'!$B$87:$L$120,2,0)*'Parametros Generales'!$C$7*R444)*(2/3)</f>
        <v>1556876.9096810224</v>
      </c>
      <c r="Y444" s="417"/>
      <c r="Z444" s="417"/>
      <c r="AA444" s="417"/>
      <c r="AB444" s="417">
        <f>+M444*'Parametros Generales'!$C$6*'Parametros Generales'!$J$9</f>
        <v>3895272.7272727285</v>
      </c>
      <c r="AC444" s="417">
        <f>+H444*'Parametros Generales'!$J$10*'Parametros Generales'!$C$6*'Parametros Generales'!$C$11</f>
        <v>14738498.767401624</v>
      </c>
      <c r="AD444" s="417"/>
      <c r="AE444" s="417"/>
      <c r="AF444" s="417"/>
      <c r="AG444" s="417"/>
      <c r="AH444" s="417"/>
      <c r="AI444" s="417"/>
      <c r="AJ444" s="417"/>
      <c r="AK444" s="436"/>
      <c r="AL444" s="822"/>
    </row>
    <row r="445" spans="1:38" s="33" customFormat="1" hidden="1" outlineLevel="1">
      <c r="A445" s="1150"/>
      <c r="B445" s="821">
        <v>20</v>
      </c>
      <c r="C445" s="371" t="s">
        <v>293</v>
      </c>
      <c r="D445" s="31">
        <f>+VLOOKUP(E445,Codigos!$A$1:$B$1123,2,0)</f>
        <v>20443</v>
      </c>
      <c r="E445" s="1111" t="s">
        <v>1880</v>
      </c>
      <c r="F445" s="1103">
        <v>1</v>
      </c>
      <c r="G445" s="30">
        <v>198</v>
      </c>
      <c r="H445" s="1061">
        <f>CEILING(G445,'Parametros Generales'!$C$8)</f>
        <v>200</v>
      </c>
      <c r="I445" s="1057" t="s">
        <v>308</v>
      </c>
      <c r="J445" s="1058">
        <v>200</v>
      </c>
      <c r="K445" s="1070" t="str">
        <f t="shared" si="29"/>
        <v>Ok</v>
      </c>
      <c r="L445" s="1077">
        <f t="shared" si="30"/>
        <v>0</v>
      </c>
      <c r="M445" s="1090">
        <f>+H445/'Parametros Generales'!$C$8</f>
        <v>8</v>
      </c>
      <c r="N445" s="1097"/>
      <c r="O445" s="1097"/>
      <c r="P445" s="1097"/>
      <c r="Q445" s="1097"/>
      <c r="R445" s="1097">
        <f>+(M445/'Parametros Generales'!$C$9)</f>
        <v>2</v>
      </c>
      <c r="S445" s="390"/>
      <c r="T445" s="390"/>
      <c r="U445" s="390"/>
      <c r="V445" s="389"/>
      <c r="W445" s="32">
        <f>+R445*'Componentes T.H.'!$Q$9*'Parametros Generales'!$C$6</f>
        <v>10037014.142000001</v>
      </c>
      <c r="X445" s="32">
        <f>(+VLOOKUP(C445,'Transporte y Viaticos'!$B$87:$L$120,2,0)*'Parametros Generales'!$C$7*R445)*(2/3)</f>
        <v>1556876.9096810224</v>
      </c>
      <c r="Y445" s="417"/>
      <c r="Z445" s="417"/>
      <c r="AA445" s="417"/>
      <c r="AB445" s="417">
        <f>+M445*'Parametros Generales'!$C$6*'Parametros Generales'!$J$9</f>
        <v>3895272.7272727285</v>
      </c>
      <c r="AC445" s="417">
        <f>+H445*'Parametros Generales'!$J$10*'Parametros Generales'!$C$6*'Parametros Generales'!$C$11</f>
        <v>14738498.767401624</v>
      </c>
      <c r="AD445" s="417"/>
      <c r="AE445" s="417"/>
      <c r="AF445" s="417"/>
      <c r="AG445" s="417"/>
      <c r="AH445" s="417"/>
      <c r="AI445" s="417"/>
      <c r="AJ445" s="417"/>
      <c r="AK445" s="436"/>
      <c r="AL445" s="822"/>
    </row>
    <row r="446" spans="1:38" s="33" customFormat="1" hidden="1" outlineLevel="1">
      <c r="A446" s="1150"/>
      <c r="B446" s="821">
        <v>20</v>
      </c>
      <c r="C446" s="371" t="s">
        <v>293</v>
      </c>
      <c r="D446" s="31">
        <f>+VLOOKUP(E446,Codigos!$A$1:$B$1123,2,0)</f>
        <v>20517</v>
      </c>
      <c r="E446" s="1111" t="s">
        <v>1881</v>
      </c>
      <c r="F446" s="1103">
        <v>1</v>
      </c>
      <c r="G446" s="30">
        <v>198</v>
      </c>
      <c r="H446" s="1061">
        <f>CEILING(G446,'Parametros Generales'!$C$8)</f>
        <v>200</v>
      </c>
      <c r="I446" s="1057" t="s">
        <v>309</v>
      </c>
      <c r="J446" s="1058">
        <v>200</v>
      </c>
      <c r="K446" s="1070" t="str">
        <f t="shared" si="29"/>
        <v>Ok</v>
      </c>
      <c r="L446" s="1077">
        <f t="shared" si="30"/>
        <v>0</v>
      </c>
      <c r="M446" s="1090">
        <f>+H446/'Parametros Generales'!$C$8</f>
        <v>8</v>
      </c>
      <c r="N446" s="1097"/>
      <c r="O446" s="1097"/>
      <c r="P446" s="1097"/>
      <c r="Q446" s="1097"/>
      <c r="R446" s="1097">
        <f>+(M446/'Parametros Generales'!$C$9)</f>
        <v>2</v>
      </c>
      <c r="S446" s="390"/>
      <c r="T446" s="390"/>
      <c r="U446" s="390"/>
      <c r="V446" s="389"/>
      <c r="W446" s="32">
        <f>+R446*'Componentes T.H.'!$Q$9*'Parametros Generales'!$C$6</f>
        <v>10037014.142000001</v>
      </c>
      <c r="X446" s="32">
        <f>(+VLOOKUP(C446,'Transporte y Viaticos'!$B$87:$L$120,2,0)*'Parametros Generales'!$C$7*R446)*(2/3)</f>
        <v>1556876.9096810224</v>
      </c>
      <c r="Y446" s="417"/>
      <c r="Z446" s="417"/>
      <c r="AA446" s="417"/>
      <c r="AB446" s="417">
        <f>+M446*'Parametros Generales'!$C$6*'Parametros Generales'!$J$9</f>
        <v>3895272.7272727285</v>
      </c>
      <c r="AC446" s="417">
        <f>+H446*'Parametros Generales'!$J$10*'Parametros Generales'!$C$6*'Parametros Generales'!$C$11</f>
        <v>14738498.767401624</v>
      </c>
      <c r="AD446" s="417"/>
      <c r="AE446" s="417"/>
      <c r="AF446" s="417"/>
      <c r="AG446" s="417"/>
      <c r="AH446" s="417"/>
      <c r="AI446" s="417"/>
      <c r="AJ446" s="417"/>
      <c r="AK446" s="436"/>
      <c r="AL446" s="822"/>
    </row>
    <row r="447" spans="1:38" s="33" customFormat="1" hidden="1" outlineLevel="1">
      <c r="A447" s="1150"/>
      <c r="B447" s="821">
        <v>20</v>
      </c>
      <c r="C447" s="371" t="s">
        <v>293</v>
      </c>
      <c r="D447" s="31">
        <f>+VLOOKUP(E447,Codigos!$A$1:$B$1123,2,0)</f>
        <v>20550</v>
      </c>
      <c r="E447" s="1111" t="s">
        <v>1882</v>
      </c>
      <c r="F447" s="1103">
        <v>1</v>
      </c>
      <c r="G447" s="30">
        <v>198</v>
      </c>
      <c r="H447" s="1061">
        <f>CEILING(G447,'Parametros Generales'!$C$8)</f>
        <v>200</v>
      </c>
      <c r="I447" s="1057" t="s">
        <v>310</v>
      </c>
      <c r="J447" s="1058">
        <v>200</v>
      </c>
      <c r="K447" s="1070" t="str">
        <f t="shared" si="29"/>
        <v>Ok</v>
      </c>
      <c r="L447" s="1077">
        <f t="shared" si="30"/>
        <v>0</v>
      </c>
      <c r="M447" s="1090">
        <f>+H447/'Parametros Generales'!$C$8</f>
        <v>8</v>
      </c>
      <c r="N447" s="1097"/>
      <c r="O447" s="1097"/>
      <c r="P447" s="1097"/>
      <c r="Q447" s="1097"/>
      <c r="R447" s="1097">
        <f>+(M447/'Parametros Generales'!$C$9)</f>
        <v>2</v>
      </c>
      <c r="S447" s="390"/>
      <c r="T447" s="390"/>
      <c r="U447" s="390"/>
      <c r="V447" s="389"/>
      <c r="W447" s="32">
        <f>+R447*'Componentes T.H.'!$Q$9*'Parametros Generales'!$C$6</f>
        <v>10037014.142000001</v>
      </c>
      <c r="X447" s="32">
        <f>(+VLOOKUP(C447,'Transporte y Viaticos'!$B$87:$L$120,2,0)*'Parametros Generales'!$C$7*R447)*(2/3)</f>
        <v>1556876.9096810224</v>
      </c>
      <c r="Y447" s="417"/>
      <c r="Z447" s="417"/>
      <c r="AA447" s="417"/>
      <c r="AB447" s="417">
        <f>+M447*'Parametros Generales'!$C$6*'Parametros Generales'!$J$9</f>
        <v>3895272.7272727285</v>
      </c>
      <c r="AC447" s="417">
        <f>+H447*'Parametros Generales'!$J$10*'Parametros Generales'!$C$6*'Parametros Generales'!$C$11</f>
        <v>14738498.767401624</v>
      </c>
      <c r="AD447" s="417"/>
      <c r="AE447" s="417"/>
      <c r="AF447" s="417"/>
      <c r="AG447" s="417"/>
      <c r="AH447" s="417"/>
      <c r="AI447" s="417"/>
      <c r="AJ447" s="417"/>
      <c r="AK447" s="436"/>
      <c r="AL447" s="822"/>
    </row>
    <row r="448" spans="1:38" s="33" customFormat="1" hidden="1" outlineLevel="1">
      <c r="A448" s="1150"/>
      <c r="B448" s="821">
        <v>20</v>
      </c>
      <c r="C448" s="371" t="s">
        <v>293</v>
      </c>
      <c r="D448" s="31">
        <f>+VLOOKUP(E448,Codigos!$A$1:$B$1123,2,0)</f>
        <v>20570</v>
      </c>
      <c r="E448" s="1111" t="s">
        <v>1883</v>
      </c>
      <c r="F448" s="1103">
        <v>1</v>
      </c>
      <c r="G448" s="30">
        <v>198</v>
      </c>
      <c r="H448" s="1061">
        <f>CEILING(G448,'Parametros Generales'!$C$8)</f>
        <v>200</v>
      </c>
      <c r="I448" s="1057" t="s">
        <v>311</v>
      </c>
      <c r="J448" s="1058">
        <v>200</v>
      </c>
      <c r="K448" s="1070" t="str">
        <f t="shared" si="29"/>
        <v>Ok</v>
      </c>
      <c r="L448" s="1077">
        <f t="shared" si="30"/>
        <v>0</v>
      </c>
      <c r="M448" s="1090">
        <f>+H448/'Parametros Generales'!$C$8</f>
        <v>8</v>
      </c>
      <c r="N448" s="1097"/>
      <c r="O448" s="1097"/>
      <c r="P448" s="1097"/>
      <c r="Q448" s="1097"/>
      <c r="R448" s="1097">
        <f>+(M448/'Parametros Generales'!$C$9)</f>
        <v>2</v>
      </c>
      <c r="S448" s="390"/>
      <c r="T448" s="390"/>
      <c r="U448" s="390"/>
      <c r="V448" s="389"/>
      <c r="W448" s="32">
        <f>+R448*'Componentes T.H.'!$Q$9*'Parametros Generales'!$C$6</f>
        <v>10037014.142000001</v>
      </c>
      <c r="X448" s="32">
        <f>(+VLOOKUP(C448,'Transporte y Viaticos'!$B$87:$L$120,2,0)*'Parametros Generales'!$C$7*R448)*(2/3)</f>
        <v>1556876.9096810224</v>
      </c>
      <c r="Y448" s="417"/>
      <c r="Z448" s="417"/>
      <c r="AA448" s="417"/>
      <c r="AB448" s="417">
        <f>+M448*'Parametros Generales'!$C$6*'Parametros Generales'!$J$9</f>
        <v>3895272.7272727285</v>
      </c>
      <c r="AC448" s="417">
        <f>+H448*'Parametros Generales'!$J$10*'Parametros Generales'!$C$6*'Parametros Generales'!$C$11</f>
        <v>14738498.767401624</v>
      </c>
      <c r="AD448" s="417"/>
      <c r="AE448" s="417"/>
      <c r="AF448" s="417"/>
      <c r="AG448" s="417"/>
      <c r="AH448" s="417"/>
      <c r="AI448" s="417"/>
      <c r="AJ448" s="417"/>
      <c r="AK448" s="436"/>
      <c r="AL448" s="822"/>
    </row>
    <row r="449" spans="1:38" s="33" customFormat="1" hidden="1" outlineLevel="1">
      <c r="A449" s="1150"/>
      <c r="B449" s="821">
        <v>20</v>
      </c>
      <c r="C449" s="371" t="s">
        <v>293</v>
      </c>
      <c r="D449" s="31">
        <f>+VLOOKUP(E449,Codigos!$A$1:$B$1123,2,0)</f>
        <v>20614</v>
      </c>
      <c r="E449" s="1111" t="s">
        <v>1884</v>
      </c>
      <c r="F449" s="1103">
        <v>1</v>
      </c>
      <c r="G449" s="30">
        <v>198</v>
      </c>
      <c r="H449" s="1061">
        <f>CEILING(G449,'Parametros Generales'!$C$8)</f>
        <v>200</v>
      </c>
      <c r="I449" s="1057" t="s">
        <v>312</v>
      </c>
      <c r="J449" s="1058">
        <v>200</v>
      </c>
      <c r="K449" s="1070" t="str">
        <f t="shared" si="29"/>
        <v>Ok</v>
      </c>
      <c r="L449" s="1077">
        <f t="shared" si="30"/>
        <v>0</v>
      </c>
      <c r="M449" s="1090">
        <f>+H449/'Parametros Generales'!$C$8</f>
        <v>8</v>
      </c>
      <c r="N449" s="1097"/>
      <c r="O449" s="1097"/>
      <c r="P449" s="1097"/>
      <c r="Q449" s="1097"/>
      <c r="R449" s="1097">
        <f>+(M449/'Parametros Generales'!$C$9)</f>
        <v>2</v>
      </c>
      <c r="S449" s="390"/>
      <c r="T449" s="390"/>
      <c r="U449" s="390"/>
      <c r="V449" s="389"/>
      <c r="W449" s="32">
        <f>+R449*'Componentes T.H.'!$Q$9*'Parametros Generales'!$C$6</f>
        <v>10037014.142000001</v>
      </c>
      <c r="X449" s="32">
        <f>(+VLOOKUP(C449,'Transporte y Viaticos'!$B$87:$L$120,2,0)*'Parametros Generales'!$C$7*R449)*(2/3)</f>
        <v>1556876.9096810224</v>
      </c>
      <c r="Y449" s="417"/>
      <c r="Z449" s="417"/>
      <c r="AA449" s="417"/>
      <c r="AB449" s="417">
        <f>+M449*'Parametros Generales'!$C$6*'Parametros Generales'!$J$9</f>
        <v>3895272.7272727285</v>
      </c>
      <c r="AC449" s="417">
        <f>+H449*'Parametros Generales'!$J$10*'Parametros Generales'!$C$6*'Parametros Generales'!$C$11</f>
        <v>14738498.767401624</v>
      </c>
      <c r="AD449" s="417"/>
      <c r="AE449" s="417"/>
      <c r="AF449" s="417"/>
      <c r="AG449" s="417"/>
      <c r="AH449" s="417"/>
      <c r="AI449" s="417"/>
      <c r="AJ449" s="417"/>
      <c r="AK449" s="436"/>
      <c r="AL449" s="822"/>
    </row>
    <row r="450" spans="1:38" s="33" customFormat="1" hidden="1" outlineLevel="1">
      <c r="A450" s="1150"/>
      <c r="B450" s="821">
        <v>20</v>
      </c>
      <c r="C450" s="371" t="s">
        <v>293</v>
      </c>
      <c r="D450" s="31">
        <f>+VLOOKUP(E450,Codigos!$A$1:$B$1123,2,0)</f>
        <v>20710</v>
      </c>
      <c r="E450" s="1111" t="s">
        <v>1885</v>
      </c>
      <c r="F450" s="1103">
        <v>1</v>
      </c>
      <c r="G450" s="30">
        <v>198</v>
      </c>
      <c r="H450" s="1061">
        <f>CEILING(G450,'Parametros Generales'!$C$8)</f>
        <v>200</v>
      </c>
      <c r="I450" s="1057" t="s">
        <v>313</v>
      </c>
      <c r="J450" s="1058">
        <v>200</v>
      </c>
      <c r="K450" s="1070" t="str">
        <f t="shared" ref="K450:K513" si="32">+IF(I450=E450,"Ok","Rev")</f>
        <v>Ok</v>
      </c>
      <c r="L450" s="1077">
        <f t="shared" ref="L450:L513" si="33">+J450-H450</f>
        <v>0</v>
      </c>
      <c r="M450" s="1090">
        <f>+H450/'Parametros Generales'!$C$8</f>
        <v>8</v>
      </c>
      <c r="N450" s="1097"/>
      <c r="O450" s="1097"/>
      <c r="P450" s="1097"/>
      <c r="Q450" s="1097"/>
      <c r="R450" s="1097">
        <f>+(M450/'Parametros Generales'!$C$9)</f>
        <v>2</v>
      </c>
      <c r="S450" s="390"/>
      <c r="T450" s="390"/>
      <c r="U450" s="390"/>
      <c r="V450" s="389"/>
      <c r="W450" s="32">
        <f>+R450*'Componentes T.H.'!$Q$9*'Parametros Generales'!$C$6</f>
        <v>10037014.142000001</v>
      </c>
      <c r="X450" s="32">
        <f>(+VLOOKUP(C450,'Transporte y Viaticos'!$B$87:$L$120,2,0)*'Parametros Generales'!$C$7*R450)*(2/3)</f>
        <v>1556876.9096810224</v>
      </c>
      <c r="Y450" s="417"/>
      <c r="Z450" s="417"/>
      <c r="AA450" s="417"/>
      <c r="AB450" s="417">
        <f>+M450*'Parametros Generales'!$C$6*'Parametros Generales'!$J$9</f>
        <v>3895272.7272727285</v>
      </c>
      <c r="AC450" s="417">
        <f>+H450*'Parametros Generales'!$J$10*'Parametros Generales'!$C$6*'Parametros Generales'!$C$11</f>
        <v>14738498.767401624</v>
      </c>
      <c r="AD450" s="417"/>
      <c r="AE450" s="417"/>
      <c r="AF450" s="417"/>
      <c r="AG450" s="417"/>
      <c r="AH450" s="417"/>
      <c r="AI450" s="417"/>
      <c r="AJ450" s="417"/>
      <c r="AK450" s="436"/>
      <c r="AL450" s="822"/>
    </row>
    <row r="451" spans="1:38" s="33" customFormat="1" hidden="1" outlineLevel="1">
      <c r="A451" s="1150"/>
      <c r="B451" s="821">
        <v>20</v>
      </c>
      <c r="C451" s="371" t="s">
        <v>293</v>
      </c>
      <c r="D451" s="31">
        <f>+VLOOKUP(E451,Codigos!$A$1:$B$1123,2,0)</f>
        <v>20750</v>
      </c>
      <c r="E451" s="1111" t="s">
        <v>1886</v>
      </c>
      <c r="F451" s="1103">
        <v>1</v>
      </c>
      <c r="G451" s="30">
        <v>198</v>
      </c>
      <c r="H451" s="1061">
        <f>CEILING(G451,'Parametros Generales'!$C$8)</f>
        <v>200</v>
      </c>
      <c r="I451" s="1057" t="s">
        <v>314</v>
      </c>
      <c r="J451" s="1058">
        <v>200</v>
      </c>
      <c r="K451" s="1070" t="str">
        <f t="shared" si="32"/>
        <v>Ok</v>
      </c>
      <c r="L451" s="1077">
        <f t="shared" si="33"/>
        <v>0</v>
      </c>
      <c r="M451" s="1090">
        <f>+H451/'Parametros Generales'!$C$8</f>
        <v>8</v>
      </c>
      <c r="N451" s="1097"/>
      <c r="O451" s="1097"/>
      <c r="P451" s="1097"/>
      <c r="Q451" s="1097"/>
      <c r="R451" s="1097">
        <f>+(M451/'Parametros Generales'!$C$9)</f>
        <v>2</v>
      </c>
      <c r="S451" s="390"/>
      <c r="T451" s="390"/>
      <c r="U451" s="390"/>
      <c r="V451" s="389"/>
      <c r="W451" s="32">
        <f>+R451*'Componentes T.H.'!$Q$9*'Parametros Generales'!$C$6</f>
        <v>10037014.142000001</v>
      </c>
      <c r="X451" s="32">
        <f>(+VLOOKUP(C451,'Transporte y Viaticos'!$B$87:$L$120,2,0)*'Parametros Generales'!$C$7*R451)*(2/3)</f>
        <v>1556876.9096810224</v>
      </c>
      <c r="Y451" s="417"/>
      <c r="Z451" s="417"/>
      <c r="AA451" s="417"/>
      <c r="AB451" s="417">
        <f>+M451*'Parametros Generales'!$C$6*'Parametros Generales'!$J$9</f>
        <v>3895272.7272727285</v>
      </c>
      <c r="AC451" s="417">
        <f>+H451*'Parametros Generales'!$J$10*'Parametros Generales'!$C$6*'Parametros Generales'!$C$11</f>
        <v>14738498.767401624</v>
      </c>
      <c r="AD451" s="417"/>
      <c r="AE451" s="417"/>
      <c r="AF451" s="417"/>
      <c r="AG451" s="417"/>
      <c r="AH451" s="417"/>
      <c r="AI451" s="417"/>
      <c r="AJ451" s="417"/>
      <c r="AK451" s="436"/>
      <c r="AL451" s="822"/>
    </row>
    <row r="452" spans="1:38" s="33" customFormat="1" hidden="1" outlineLevel="1">
      <c r="A452" s="1150"/>
      <c r="B452" s="821">
        <v>20</v>
      </c>
      <c r="C452" s="371" t="s">
        <v>293</v>
      </c>
      <c r="D452" s="31">
        <f>+VLOOKUP(E452,Codigos!$A$1:$B$1123,2,0)</f>
        <v>20770</v>
      </c>
      <c r="E452" s="1111" t="s">
        <v>1887</v>
      </c>
      <c r="F452" s="1103">
        <v>1</v>
      </c>
      <c r="G452" s="30">
        <v>198</v>
      </c>
      <c r="H452" s="1061">
        <f>CEILING(G452,'Parametros Generales'!$C$8)</f>
        <v>200</v>
      </c>
      <c r="I452" s="1057" t="s">
        <v>315</v>
      </c>
      <c r="J452" s="1058">
        <v>200</v>
      </c>
      <c r="K452" s="1070" t="str">
        <f t="shared" si="32"/>
        <v>Ok</v>
      </c>
      <c r="L452" s="1077">
        <f t="shared" si="33"/>
        <v>0</v>
      </c>
      <c r="M452" s="1090">
        <f>+H452/'Parametros Generales'!$C$8</f>
        <v>8</v>
      </c>
      <c r="N452" s="1097"/>
      <c r="O452" s="1097"/>
      <c r="P452" s="1097"/>
      <c r="Q452" s="1097"/>
      <c r="R452" s="1097">
        <f>+(M452/'Parametros Generales'!$C$9)</f>
        <v>2</v>
      </c>
      <c r="S452" s="390"/>
      <c r="T452" s="390"/>
      <c r="U452" s="390"/>
      <c r="V452" s="389"/>
      <c r="W452" s="32">
        <f>+R452*'Componentes T.H.'!$Q$9*'Parametros Generales'!$C$6</f>
        <v>10037014.142000001</v>
      </c>
      <c r="X452" s="32">
        <f>(+VLOOKUP(C452,'Transporte y Viaticos'!$B$87:$L$120,2,0)*'Parametros Generales'!$C$7*R452)*(2/3)</f>
        <v>1556876.9096810224</v>
      </c>
      <c r="Y452" s="417"/>
      <c r="Z452" s="417"/>
      <c r="AA452" s="417"/>
      <c r="AB452" s="417">
        <f>+M452*'Parametros Generales'!$C$6*'Parametros Generales'!$J$9</f>
        <v>3895272.7272727285</v>
      </c>
      <c r="AC452" s="417">
        <f>+H452*'Parametros Generales'!$J$10*'Parametros Generales'!$C$6*'Parametros Generales'!$C$11</f>
        <v>14738498.767401624</v>
      </c>
      <c r="AD452" s="417"/>
      <c r="AE452" s="417"/>
      <c r="AF452" s="417"/>
      <c r="AG452" s="417"/>
      <c r="AH452" s="417"/>
      <c r="AI452" s="417"/>
      <c r="AJ452" s="417"/>
      <c r="AK452" s="436"/>
      <c r="AL452" s="822"/>
    </row>
    <row r="453" spans="1:38" s="33" customFormat="1" hidden="1" outlineLevel="1">
      <c r="A453" s="1150"/>
      <c r="B453" s="823">
        <v>20</v>
      </c>
      <c r="C453" s="373" t="s">
        <v>293</v>
      </c>
      <c r="D453" s="374">
        <f>+VLOOKUP(E453,Codigos!$A$1:$B$1123,2,0)</f>
        <v>20787</v>
      </c>
      <c r="E453" s="1113" t="s">
        <v>1888</v>
      </c>
      <c r="F453" s="1104">
        <v>1</v>
      </c>
      <c r="G453" s="375">
        <v>198</v>
      </c>
      <c r="H453" s="1062">
        <f>CEILING(G453,'Parametros Generales'!$C$8)</f>
        <v>200</v>
      </c>
      <c r="I453" s="1057" t="s">
        <v>316</v>
      </c>
      <c r="J453" s="1058">
        <v>200</v>
      </c>
      <c r="K453" s="1070" t="str">
        <f t="shared" si="32"/>
        <v>Ok</v>
      </c>
      <c r="L453" s="1077">
        <f t="shared" si="33"/>
        <v>0</v>
      </c>
      <c r="M453" s="1091">
        <f>+H453/'Parametros Generales'!$C$8</f>
        <v>8</v>
      </c>
      <c r="N453" s="1098"/>
      <c r="O453" s="1098"/>
      <c r="P453" s="1098"/>
      <c r="Q453" s="1098"/>
      <c r="R453" s="1098">
        <f>+(M453/'Parametros Generales'!$C$9)</f>
        <v>2</v>
      </c>
      <c r="S453" s="395"/>
      <c r="T453" s="395"/>
      <c r="U453" s="395"/>
      <c r="V453" s="396"/>
      <c r="W453" s="376">
        <f>+R453*'Componentes T.H.'!$Q$9*'Parametros Generales'!$C$6</f>
        <v>10037014.142000001</v>
      </c>
      <c r="X453" s="376">
        <f>(+VLOOKUP(C453,'Transporte y Viaticos'!$B$87:$L$120,2,0)*'Parametros Generales'!$C$7*R453)*(2/3)</f>
        <v>1556876.9096810224</v>
      </c>
      <c r="Y453" s="417"/>
      <c r="Z453" s="417"/>
      <c r="AA453" s="417"/>
      <c r="AB453" s="417">
        <f>+M453*'Parametros Generales'!$C$6*'Parametros Generales'!$J$9</f>
        <v>3895272.7272727285</v>
      </c>
      <c r="AC453" s="417">
        <f>+H453*'Parametros Generales'!$J$10*'Parametros Generales'!$C$6*'Parametros Generales'!$C$11</f>
        <v>14738498.767401624</v>
      </c>
      <c r="AD453" s="417"/>
      <c r="AE453" s="417"/>
      <c r="AF453" s="417"/>
      <c r="AG453" s="417"/>
      <c r="AH453" s="417"/>
      <c r="AI453" s="417"/>
      <c r="AJ453" s="417"/>
      <c r="AK453" s="436"/>
      <c r="AL453" s="822"/>
    </row>
    <row r="454" spans="1:38" s="33" customFormat="1" hidden="1" outlineLevel="1">
      <c r="A454" s="1150"/>
      <c r="B454" s="823">
        <f t="shared" ref="B454:B463" si="34">+B453</f>
        <v>20</v>
      </c>
      <c r="C454" s="373" t="str">
        <f t="shared" ref="C454:C463" si="35">+C453</f>
        <v>CESAR</v>
      </c>
      <c r="D454" s="374"/>
      <c r="E454" s="1113"/>
      <c r="F454" s="1104"/>
      <c r="G454" s="375"/>
      <c r="H454" s="1062"/>
      <c r="I454" s="1057"/>
      <c r="J454" s="1058"/>
      <c r="K454" s="1070" t="str">
        <f t="shared" si="32"/>
        <v>Ok</v>
      </c>
      <c r="L454" s="1077">
        <f t="shared" si="33"/>
        <v>0</v>
      </c>
      <c r="M454" s="1091">
        <f>+H454/'Parametros Generales'!$C$8</f>
        <v>0</v>
      </c>
      <c r="N454" s="1098"/>
      <c r="O454" s="1098"/>
      <c r="P454" s="1098"/>
      <c r="Q454" s="1098"/>
      <c r="R454" s="1098">
        <f>+(M454/'Parametros Generales'!$C$9)</f>
        <v>0</v>
      </c>
      <c r="S454" s="395"/>
      <c r="T454" s="395"/>
      <c r="U454" s="395"/>
      <c r="V454" s="396"/>
      <c r="W454" s="376">
        <f>+R454*'Componentes T.H.'!$Q$9*'Parametros Generales'!$C$6</f>
        <v>0</v>
      </c>
      <c r="X454" s="376">
        <f>(+VLOOKUP(C454,'Transporte y Viaticos'!$B$87:$L$120,2,0)*'Parametros Generales'!$C$7*R454)*(2/3)</f>
        <v>0</v>
      </c>
      <c r="Y454" s="417"/>
      <c r="Z454" s="417"/>
      <c r="AA454" s="417"/>
      <c r="AB454" s="417">
        <f>+M454*'Parametros Generales'!$C$6*'Parametros Generales'!$J$9</f>
        <v>0</v>
      </c>
      <c r="AC454" s="417">
        <f>+H454*'Parametros Generales'!$J$10*'Parametros Generales'!$C$6*'Parametros Generales'!$C$11</f>
        <v>0</v>
      </c>
      <c r="AD454" s="417"/>
      <c r="AE454" s="417"/>
      <c r="AF454" s="417"/>
      <c r="AG454" s="417"/>
      <c r="AH454" s="417"/>
      <c r="AI454" s="417"/>
      <c r="AJ454" s="417"/>
      <c r="AK454" s="436"/>
      <c r="AL454" s="822"/>
    </row>
    <row r="455" spans="1:38" s="33" customFormat="1" hidden="1" outlineLevel="1">
      <c r="A455" s="1150"/>
      <c r="B455" s="823">
        <f t="shared" si="34"/>
        <v>20</v>
      </c>
      <c r="C455" s="373" t="str">
        <f t="shared" si="35"/>
        <v>CESAR</v>
      </c>
      <c r="D455" s="374"/>
      <c r="E455" s="1113"/>
      <c r="F455" s="1104"/>
      <c r="G455" s="375"/>
      <c r="H455" s="1062"/>
      <c r="I455" s="1057"/>
      <c r="J455" s="1058"/>
      <c r="K455" s="1070" t="str">
        <f t="shared" si="32"/>
        <v>Ok</v>
      </c>
      <c r="L455" s="1077">
        <f t="shared" si="33"/>
        <v>0</v>
      </c>
      <c r="M455" s="1091">
        <f>+H455/'Parametros Generales'!$C$8</f>
        <v>0</v>
      </c>
      <c r="N455" s="1098"/>
      <c r="O455" s="1098"/>
      <c r="P455" s="1098"/>
      <c r="Q455" s="1098"/>
      <c r="R455" s="1098">
        <f>+(M455/'Parametros Generales'!$C$9)</f>
        <v>0</v>
      </c>
      <c r="S455" s="395"/>
      <c r="T455" s="395"/>
      <c r="U455" s="395"/>
      <c r="V455" s="396"/>
      <c r="W455" s="376">
        <f>+R455*'Componentes T.H.'!$Q$9*'Parametros Generales'!$C$6</f>
        <v>0</v>
      </c>
      <c r="X455" s="376">
        <f>(+VLOOKUP(C455,'Transporte y Viaticos'!$B$87:$L$120,2,0)*'Parametros Generales'!$C$7*R455)*(2/3)</f>
        <v>0</v>
      </c>
      <c r="Y455" s="417"/>
      <c r="Z455" s="417"/>
      <c r="AA455" s="417"/>
      <c r="AB455" s="417">
        <f>+M455*'Parametros Generales'!$C$6*'Parametros Generales'!$J$9</f>
        <v>0</v>
      </c>
      <c r="AC455" s="417">
        <f>+H455*'Parametros Generales'!$J$10*'Parametros Generales'!$C$6*'Parametros Generales'!$C$11</f>
        <v>0</v>
      </c>
      <c r="AD455" s="417"/>
      <c r="AE455" s="417"/>
      <c r="AF455" s="417"/>
      <c r="AG455" s="417"/>
      <c r="AH455" s="417"/>
      <c r="AI455" s="417"/>
      <c r="AJ455" s="417"/>
      <c r="AK455" s="436"/>
      <c r="AL455" s="822"/>
    </row>
    <row r="456" spans="1:38" s="33" customFormat="1" hidden="1" outlineLevel="1">
      <c r="A456" s="1150"/>
      <c r="B456" s="823">
        <f t="shared" si="34"/>
        <v>20</v>
      </c>
      <c r="C456" s="373" t="str">
        <f t="shared" si="35"/>
        <v>CESAR</v>
      </c>
      <c r="D456" s="374"/>
      <c r="E456" s="1113"/>
      <c r="F456" s="1104"/>
      <c r="G456" s="375"/>
      <c r="H456" s="1062"/>
      <c r="I456" s="1057"/>
      <c r="J456" s="1058"/>
      <c r="K456" s="1070" t="str">
        <f t="shared" si="32"/>
        <v>Ok</v>
      </c>
      <c r="L456" s="1077">
        <f t="shared" si="33"/>
        <v>0</v>
      </c>
      <c r="M456" s="1091">
        <f>+H456/'Parametros Generales'!$C$8</f>
        <v>0</v>
      </c>
      <c r="N456" s="1098"/>
      <c r="O456" s="1098"/>
      <c r="P456" s="1098"/>
      <c r="Q456" s="1098"/>
      <c r="R456" s="1098">
        <f>+(M456/'Parametros Generales'!$C$9)</f>
        <v>0</v>
      </c>
      <c r="S456" s="395"/>
      <c r="T456" s="395"/>
      <c r="U456" s="395"/>
      <c r="V456" s="396"/>
      <c r="W456" s="376">
        <f>+R456*'Componentes T.H.'!$Q$9*'Parametros Generales'!$C$6</f>
        <v>0</v>
      </c>
      <c r="X456" s="376">
        <f>(+VLOOKUP(C456,'Transporte y Viaticos'!$B$87:$L$120,2,0)*'Parametros Generales'!$C$7*R456)*(2/3)</f>
        <v>0</v>
      </c>
      <c r="Y456" s="417"/>
      <c r="Z456" s="417"/>
      <c r="AA456" s="417"/>
      <c r="AB456" s="417">
        <f>+M456*'Parametros Generales'!$C$6*'Parametros Generales'!$J$9</f>
        <v>0</v>
      </c>
      <c r="AC456" s="417">
        <f>+H456*'Parametros Generales'!$J$10*'Parametros Generales'!$C$6*'Parametros Generales'!$C$11</f>
        <v>0</v>
      </c>
      <c r="AD456" s="417"/>
      <c r="AE456" s="417"/>
      <c r="AF456" s="417"/>
      <c r="AG456" s="417"/>
      <c r="AH456" s="417"/>
      <c r="AI456" s="417"/>
      <c r="AJ456" s="417"/>
      <c r="AK456" s="436"/>
      <c r="AL456" s="822"/>
    </row>
    <row r="457" spans="1:38" s="33" customFormat="1" hidden="1" outlineLevel="1">
      <c r="A457" s="1150"/>
      <c r="B457" s="823">
        <f t="shared" si="34"/>
        <v>20</v>
      </c>
      <c r="C457" s="373" t="str">
        <f t="shared" si="35"/>
        <v>CESAR</v>
      </c>
      <c r="D457" s="374"/>
      <c r="E457" s="1113"/>
      <c r="F457" s="1104"/>
      <c r="G457" s="375"/>
      <c r="H457" s="1062"/>
      <c r="I457" s="1057"/>
      <c r="J457" s="1058"/>
      <c r="K457" s="1070" t="str">
        <f t="shared" si="32"/>
        <v>Ok</v>
      </c>
      <c r="L457" s="1077">
        <f t="shared" si="33"/>
        <v>0</v>
      </c>
      <c r="M457" s="1091">
        <f>+H457/'Parametros Generales'!$C$8</f>
        <v>0</v>
      </c>
      <c r="N457" s="1098"/>
      <c r="O457" s="1098"/>
      <c r="P457" s="1098"/>
      <c r="Q457" s="1098"/>
      <c r="R457" s="1098">
        <f>+(M457/'Parametros Generales'!$C$9)</f>
        <v>0</v>
      </c>
      <c r="S457" s="395"/>
      <c r="T457" s="395"/>
      <c r="U457" s="395"/>
      <c r="V457" s="396"/>
      <c r="W457" s="376">
        <f>+R457*'Componentes T.H.'!$Q$9*'Parametros Generales'!$C$6</f>
        <v>0</v>
      </c>
      <c r="X457" s="376">
        <f>(+VLOOKUP(C457,'Transporte y Viaticos'!$B$87:$L$120,2,0)*'Parametros Generales'!$C$7*R457)*(2/3)</f>
        <v>0</v>
      </c>
      <c r="Y457" s="417"/>
      <c r="Z457" s="417"/>
      <c r="AA457" s="417"/>
      <c r="AB457" s="417">
        <f>+M457*'Parametros Generales'!$C$6*'Parametros Generales'!$J$9</f>
        <v>0</v>
      </c>
      <c r="AC457" s="417">
        <f>+H457*'Parametros Generales'!$J$10*'Parametros Generales'!$C$6*'Parametros Generales'!$C$11</f>
        <v>0</v>
      </c>
      <c r="AD457" s="417"/>
      <c r="AE457" s="417"/>
      <c r="AF457" s="417"/>
      <c r="AG457" s="417"/>
      <c r="AH457" s="417"/>
      <c r="AI457" s="417"/>
      <c r="AJ457" s="417"/>
      <c r="AK457" s="436"/>
      <c r="AL457" s="822"/>
    </row>
    <row r="458" spans="1:38" s="33" customFormat="1" hidden="1" outlineLevel="1">
      <c r="A458" s="1150"/>
      <c r="B458" s="823">
        <f t="shared" si="34"/>
        <v>20</v>
      </c>
      <c r="C458" s="373" t="str">
        <f t="shared" si="35"/>
        <v>CESAR</v>
      </c>
      <c r="D458" s="374"/>
      <c r="E458" s="1113"/>
      <c r="F458" s="1104"/>
      <c r="G458" s="375"/>
      <c r="H458" s="1062"/>
      <c r="I458" s="1057"/>
      <c r="J458" s="1058"/>
      <c r="K458" s="1070" t="str">
        <f t="shared" si="32"/>
        <v>Ok</v>
      </c>
      <c r="L458" s="1077">
        <f t="shared" si="33"/>
        <v>0</v>
      </c>
      <c r="M458" s="1091">
        <f>+H458/'Parametros Generales'!$C$8</f>
        <v>0</v>
      </c>
      <c r="N458" s="1098"/>
      <c r="O458" s="1098"/>
      <c r="P458" s="1098"/>
      <c r="Q458" s="1098"/>
      <c r="R458" s="1098">
        <f>+(M458/'Parametros Generales'!$C$9)</f>
        <v>0</v>
      </c>
      <c r="S458" s="395"/>
      <c r="T458" s="395"/>
      <c r="U458" s="395"/>
      <c r="V458" s="396"/>
      <c r="W458" s="376">
        <f>+R458*'Componentes T.H.'!$Q$9*'Parametros Generales'!$C$6</f>
        <v>0</v>
      </c>
      <c r="X458" s="376">
        <f>(+VLOOKUP(C458,'Transporte y Viaticos'!$B$87:$L$120,2,0)*'Parametros Generales'!$C$7*R458)*(2/3)</f>
        <v>0</v>
      </c>
      <c r="Y458" s="417"/>
      <c r="Z458" s="417"/>
      <c r="AA458" s="417"/>
      <c r="AB458" s="417">
        <f>+M458*'Parametros Generales'!$C$6*'Parametros Generales'!$J$9</f>
        <v>0</v>
      </c>
      <c r="AC458" s="417">
        <f>+H458*'Parametros Generales'!$J$10*'Parametros Generales'!$C$6*'Parametros Generales'!$C$11</f>
        <v>0</v>
      </c>
      <c r="AD458" s="417"/>
      <c r="AE458" s="417"/>
      <c r="AF458" s="417"/>
      <c r="AG458" s="417"/>
      <c r="AH458" s="417"/>
      <c r="AI458" s="417"/>
      <c r="AJ458" s="417"/>
      <c r="AK458" s="436"/>
      <c r="AL458" s="822"/>
    </row>
    <row r="459" spans="1:38" s="33" customFormat="1" hidden="1" outlineLevel="1">
      <c r="A459" s="1150"/>
      <c r="B459" s="823">
        <f t="shared" si="34"/>
        <v>20</v>
      </c>
      <c r="C459" s="373" t="str">
        <f t="shared" si="35"/>
        <v>CESAR</v>
      </c>
      <c r="D459" s="374"/>
      <c r="E459" s="1113"/>
      <c r="F459" s="1104"/>
      <c r="G459" s="375"/>
      <c r="H459" s="1062"/>
      <c r="I459" s="1057"/>
      <c r="J459" s="1058"/>
      <c r="K459" s="1070" t="str">
        <f t="shared" si="32"/>
        <v>Ok</v>
      </c>
      <c r="L459" s="1077">
        <f t="shared" si="33"/>
        <v>0</v>
      </c>
      <c r="M459" s="1091">
        <f>+H459/'Parametros Generales'!$C$8</f>
        <v>0</v>
      </c>
      <c r="N459" s="1098"/>
      <c r="O459" s="1098"/>
      <c r="P459" s="1098"/>
      <c r="Q459" s="1098"/>
      <c r="R459" s="1098">
        <f>+(M459/'Parametros Generales'!$C$9)</f>
        <v>0</v>
      </c>
      <c r="S459" s="395"/>
      <c r="T459" s="395"/>
      <c r="U459" s="395"/>
      <c r="V459" s="396"/>
      <c r="W459" s="376">
        <f>+R459*'Componentes T.H.'!$Q$9*'Parametros Generales'!$C$6</f>
        <v>0</v>
      </c>
      <c r="X459" s="376">
        <f>(+VLOOKUP(C459,'Transporte y Viaticos'!$B$87:$L$120,2,0)*'Parametros Generales'!$C$7*R459)*(2/3)</f>
        <v>0</v>
      </c>
      <c r="Y459" s="417"/>
      <c r="Z459" s="417"/>
      <c r="AA459" s="417"/>
      <c r="AB459" s="417">
        <f>+M459*'Parametros Generales'!$C$6*'Parametros Generales'!$J$9</f>
        <v>0</v>
      </c>
      <c r="AC459" s="417">
        <f>+H459*'Parametros Generales'!$J$10*'Parametros Generales'!$C$6*'Parametros Generales'!$C$11</f>
        <v>0</v>
      </c>
      <c r="AD459" s="417"/>
      <c r="AE459" s="417"/>
      <c r="AF459" s="417"/>
      <c r="AG459" s="417"/>
      <c r="AH459" s="417"/>
      <c r="AI459" s="417"/>
      <c r="AJ459" s="417"/>
      <c r="AK459" s="436"/>
      <c r="AL459" s="822"/>
    </row>
    <row r="460" spans="1:38" s="33" customFormat="1" hidden="1" outlineLevel="1">
      <c r="A460" s="1150"/>
      <c r="B460" s="823">
        <f t="shared" si="34"/>
        <v>20</v>
      </c>
      <c r="C460" s="373" t="str">
        <f t="shared" si="35"/>
        <v>CESAR</v>
      </c>
      <c r="D460" s="374"/>
      <c r="E460" s="1113"/>
      <c r="F460" s="1104"/>
      <c r="G460" s="375"/>
      <c r="H460" s="1062"/>
      <c r="I460" s="1057"/>
      <c r="J460" s="1058"/>
      <c r="K460" s="1070" t="str">
        <f t="shared" si="32"/>
        <v>Ok</v>
      </c>
      <c r="L460" s="1077">
        <f t="shared" si="33"/>
        <v>0</v>
      </c>
      <c r="M460" s="1091">
        <f>+H460/'Parametros Generales'!$C$8</f>
        <v>0</v>
      </c>
      <c r="N460" s="1098"/>
      <c r="O460" s="1098"/>
      <c r="P460" s="1098"/>
      <c r="Q460" s="1098"/>
      <c r="R460" s="1098">
        <f>+(M460/'Parametros Generales'!$C$9)</f>
        <v>0</v>
      </c>
      <c r="S460" s="395"/>
      <c r="T460" s="395"/>
      <c r="U460" s="395"/>
      <c r="V460" s="396"/>
      <c r="W460" s="376">
        <f>+R460*'Componentes T.H.'!$Q$9*'Parametros Generales'!$C$6</f>
        <v>0</v>
      </c>
      <c r="X460" s="376">
        <f>(+VLOOKUP(C460,'Transporte y Viaticos'!$B$87:$L$120,2,0)*'Parametros Generales'!$C$7*R460)*(2/3)</f>
        <v>0</v>
      </c>
      <c r="Y460" s="417"/>
      <c r="Z460" s="417"/>
      <c r="AA460" s="417"/>
      <c r="AB460" s="417">
        <f>+M460*'Parametros Generales'!$C$6*'Parametros Generales'!$J$9</f>
        <v>0</v>
      </c>
      <c r="AC460" s="417">
        <f>+H460*'Parametros Generales'!$J$10*'Parametros Generales'!$C$6*'Parametros Generales'!$C$11</f>
        <v>0</v>
      </c>
      <c r="AD460" s="417"/>
      <c r="AE460" s="417"/>
      <c r="AF460" s="417"/>
      <c r="AG460" s="417"/>
      <c r="AH460" s="417"/>
      <c r="AI460" s="417"/>
      <c r="AJ460" s="417"/>
      <c r="AK460" s="436"/>
      <c r="AL460" s="822"/>
    </row>
    <row r="461" spans="1:38" s="33" customFormat="1" hidden="1" outlineLevel="1">
      <c r="A461" s="1150"/>
      <c r="B461" s="823">
        <f t="shared" si="34"/>
        <v>20</v>
      </c>
      <c r="C461" s="373" t="str">
        <f t="shared" si="35"/>
        <v>CESAR</v>
      </c>
      <c r="D461" s="374"/>
      <c r="E461" s="1113"/>
      <c r="F461" s="1104"/>
      <c r="G461" s="375"/>
      <c r="H461" s="1062"/>
      <c r="I461" s="1057"/>
      <c r="J461" s="1058"/>
      <c r="K461" s="1070" t="str">
        <f t="shared" si="32"/>
        <v>Ok</v>
      </c>
      <c r="L461" s="1077">
        <f t="shared" si="33"/>
        <v>0</v>
      </c>
      <c r="M461" s="1091">
        <f>+H461/'Parametros Generales'!$C$8</f>
        <v>0</v>
      </c>
      <c r="N461" s="1098"/>
      <c r="O461" s="1098"/>
      <c r="P461" s="1098"/>
      <c r="Q461" s="1098"/>
      <c r="R461" s="1098">
        <f>+(M461/'Parametros Generales'!$C$9)</f>
        <v>0</v>
      </c>
      <c r="S461" s="395"/>
      <c r="T461" s="395"/>
      <c r="U461" s="395"/>
      <c r="V461" s="396"/>
      <c r="W461" s="376">
        <f>+R461*'Componentes T.H.'!$Q$9*'Parametros Generales'!$C$6</f>
        <v>0</v>
      </c>
      <c r="X461" s="376">
        <f>(+VLOOKUP(C461,'Transporte y Viaticos'!$B$87:$L$120,2,0)*'Parametros Generales'!$C$7*R461)*(2/3)</f>
        <v>0</v>
      </c>
      <c r="Y461" s="417"/>
      <c r="Z461" s="417"/>
      <c r="AA461" s="417"/>
      <c r="AB461" s="417">
        <f>+M461*'Parametros Generales'!$C$6*'Parametros Generales'!$J$9</f>
        <v>0</v>
      </c>
      <c r="AC461" s="417">
        <f>+H461*'Parametros Generales'!$J$10*'Parametros Generales'!$C$6*'Parametros Generales'!$C$11</f>
        <v>0</v>
      </c>
      <c r="AD461" s="417"/>
      <c r="AE461" s="417"/>
      <c r="AF461" s="417"/>
      <c r="AG461" s="417"/>
      <c r="AH461" s="417"/>
      <c r="AI461" s="417"/>
      <c r="AJ461" s="417"/>
      <c r="AK461" s="436"/>
      <c r="AL461" s="822"/>
    </row>
    <row r="462" spans="1:38" s="33" customFormat="1" hidden="1" outlineLevel="1">
      <c r="A462" s="1150"/>
      <c r="B462" s="823">
        <f t="shared" si="34"/>
        <v>20</v>
      </c>
      <c r="C462" s="373" t="str">
        <f t="shared" si="35"/>
        <v>CESAR</v>
      </c>
      <c r="D462" s="374"/>
      <c r="E462" s="1113"/>
      <c r="F462" s="1104"/>
      <c r="G462" s="375"/>
      <c r="H462" s="1062"/>
      <c r="I462" s="1057"/>
      <c r="J462" s="1058"/>
      <c r="K462" s="1070" t="str">
        <f t="shared" si="32"/>
        <v>Ok</v>
      </c>
      <c r="L462" s="1077">
        <f t="shared" si="33"/>
        <v>0</v>
      </c>
      <c r="M462" s="1091">
        <f>+H462/'Parametros Generales'!$C$8</f>
        <v>0</v>
      </c>
      <c r="N462" s="1098"/>
      <c r="O462" s="1098"/>
      <c r="P462" s="1098"/>
      <c r="Q462" s="1098"/>
      <c r="R462" s="1098">
        <f>+(M462/'Parametros Generales'!$C$9)</f>
        <v>0</v>
      </c>
      <c r="S462" s="395"/>
      <c r="T462" s="395"/>
      <c r="U462" s="395"/>
      <c r="V462" s="396"/>
      <c r="W462" s="376">
        <f>+R462*'Componentes T.H.'!$Q$9*'Parametros Generales'!$C$6</f>
        <v>0</v>
      </c>
      <c r="X462" s="376">
        <f>(+VLOOKUP(C462,'Transporte y Viaticos'!$B$87:$L$120,2,0)*'Parametros Generales'!$C$7*R462)*(2/3)</f>
        <v>0</v>
      </c>
      <c r="Y462" s="417"/>
      <c r="Z462" s="417"/>
      <c r="AA462" s="417"/>
      <c r="AB462" s="417">
        <f>+M462*'Parametros Generales'!$C$6*'Parametros Generales'!$J$9</f>
        <v>0</v>
      </c>
      <c r="AC462" s="417">
        <f>+H462*'Parametros Generales'!$J$10*'Parametros Generales'!$C$6*'Parametros Generales'!$C$11</f>
        <v>0</v>
      </c>
      <c r="AD462" s="417"/>
      <c r="AE462" s="417"/>
      <c r="AF462" s="417"/>
      <c r="AG462" s="417"/>
      <c r="AH462" s="417"/>
      <c r="AI462" s="417"/>
      <c r="AJ462" s="417"/>
      <c r="AK462" s="436"/>
      <c r="AL462" s="822"/>
    </row>
    <row r="463" spans="1:38" s="33" customFormat="1" hidden="1" outlineLevel="1">
      <c r="A463" s="1150"/>
      <c r="B463" s="823">
        <f t="shared" si="34"/>
        <v>20</v>
      </c>
      <c r="C463" s="373" t="str">
        <f t="shared" si="35"/>
        <v>CESAR</v>
      </c>
      <c r="D463" s="374"/>
      <c r="E463" s="1113"/>
      <c r="F463" s="1104"/>
      <c r="G463" s="375"/>
      <c r="H463" s="1062"/>
      <c r="I463" s="1057"/>
      <c r="J463" s="1058"/>
      <c r="K463" s="1070" t="str">
        <f t="shared" si="32"/>
        <v>Ok</v>
      </c>
      <c r="L463" s="1077">
        <f t="shared" si="33"/>
        <v>0</v>
      </c>
      <c r="M463" s="1091">
        <f>+H463/'Parametros Generales'!$C$8</f>
        <v>0</v>
      </c>
      <c r="N463" s="1098"/>
      <c r="O463" s="1098"/>
      <c r="P463" s="1098"/>
      <c r="Q463" s="1098"/>
      <c r="R463" s="1098">
        <f>+(M463/'Parametros Generales'!$C$9)</f>
        <v>0</v>
      </c>
      <c r="S463" s="395"/>
      <c r="T463" s="395"/>
      <c r="U463" s="395"/>
      <c r="V463" s="396"/>
      <c r="W463" s="376">
        <f>+R463*'Componentes T.H.'!$Q$9*'Parametros Generales'!$C$6</f>
        <v>0</v>
      </c>
      <c r="X463" s="376">
        <f>(+VLOOKUP(C463,'Transporte y Viaticos'!$B$87:$L$120,2,0)*'Parametros Generales'!$C$7*R463)*(2/3)</f>
        <v>0</v>
      </c>
      <c r="Y463" s="417"/>
      <c r="Z463" s="417"/>
      <c r="AA463" s="417"/>
      <c r="AB463" s="417">
        <f>+M463*'Parametros Generales'!$C$6*'Parametros Generales'!$J$9</f>
        <v>0</v>
      </c>
      <c r="AC463" s="417">
        <f>+H463*'Parametros Generales'!$J$10*'Parametros Generales'!$C$6*'Parametros Generales'!$C$11</f>
        <v>0</v>
      </c>
      <c r="AD463" s="417"/>
      <c r="AE463" s="417"/>
      <c r="AF463" s="417"/>
      <c r="AG463" s="417"/>
      <c r="AH463" s="417"/>
      <c r="AI463" s="417"/>
      <c r="AJ463" s="417"/>
      <c r="AK463" s="436"/>
      <c r="AL463" s="822"/>
    </row>
    <row r="464" spans="1:38" s="392" customFormat="1" collapsed="1">
      <c r="A464" s="1151">
        <v>10</v>
      </c>
      <c r="B464" s="824">
        <v>23</v>
      </c>
      <c r="C464" s="385" t="s">
        <v>1889</v>
      </c>
      <c r="D464" s="386"/>
      <c r="E464" s="1114" t="s">
        <v>1889</v>
      </c>
      <c r="F464" s="1105">
        <f>SUM(F465:F494)</f>
        <v>30</v>
      </c>
      <c r="G464" s="388">
        <f>+SUM(G465:G494)</f>
        <v>7755</v>
      </c>
      <c r="H464" s="512">
        <f>+SUM(H465:H503)</f>
        <v>7900</v>
      </c>
      <c r="I464" s="1083" t="s">
        <v>1889</v>
      </c>
      <c r="J464" s="1067">
        <v>7900</v>
      </c>
      <c r="K464" s="1069" t="str">
        <f t="shared" si="32"/>
        <v>Ok</v>
      </c>
      <c r="L464" s="1077">
        <f t="shared" si="33"/>
        <v>0</v>
      </c>
      <c r="M464" s="512">
        <f>+SUM(M465:M503)</f>
        <v>316</v>
      </c>
      <c r="N464" s="1073">
        <f>+VLOOKUP(H464,'Parametros Generales'!$B$14:$D$17,3,TRUE)</f>
        <v>0.8</v>
      </c>
      <c r="O464" s="1073">
        <f>+VLOOKUP(H464,'Parametros Generales'!$B$14:$D$17,3,TRUE)</f>
        <v>0.8</v>
      </c>
      <c r="P464" s="1073">
        <f>+VLOOKUP(H464,'Parametros Generales'!$B$14:$D$17,3,TRUE)</f>
        <v>0.8</v>
      </c>
      <c r="Q464" s="1073">
        <f>+R464/'Parametros Generales'!$C$10</f>
        <v>9.875</v>
      </c>
      <c r="R464" s="512">
        <f>+SUM(R465:R503)</f>
        <v>79</v>
      </c>
      <c r="S464" s="390">
        <f>+VLOOKUP(S$1,'Componentes T.H.'!$B$4:$R$22,'Componentes T.H.'!$Q$1,0)*'Parametros Generales'!$C$6*'Cost x Depart'!N464</f>
        <v>11725411.310133336</v>
      </c>
      <c r="T464" s="390">
        <f>+VLOOKUP(T$1,'Componentes T.H.'!$B$4:$R$22,'Componentes T.H.'!$Q$1,0)*'Parametros Generales'!$C$6*'Cost x Depart'!O464</f>
        <v>8835052.5272000004</v>
      </c>
      <c r="U464" s="390">
        <f>+VLOOKUP(U$1,'Componentes T.H.'!$B$4:$R$22,'Componentes T.H.'!$Q$1,0)*'Parametros Generales'!$C$6*'Cost x Depart'!P464</f>
        <v>3912345.6000000001</v>
      </c>
      <c r="V464" s="389">
        <f>+VLOOKUP(V$1,'Componentes T.H.'!$B$4:$R$22,'Componentes T.H.'!$Q$1,0)*'Parametros Generales'!$C$6*'Cost x Depart'!Q464</f>
        <v>98661594.401541665</v>
      </c>
      <c r="W464" s="512">
        <f>+SUM(W465:W503)</f>
        <v>396462058.60900009</v>
      </c>
      <c r="X464" s="512">
        <f>+SUM(X465:X503)</f>
        <v>61496637.932400383</v>
      </c>
      <c r="Y464" s="391">
        <f>+VLOOKUP(C465,'Transporte y Viaticos'!$B$87:$F$120,2,0)*((O464/'Parametros Generales'!$J$14)+(Q464/'Parametros Generales'!$J$15)+(R464/'Parametros Generales'!$J$16))*'Parametros Generales'!$C$6</f>
        <v>2929361.2103716987</v>
      </c>
      <c r="Z464" s="391">
        <f>+(N464+O464+Q464)*'Parametros Generales'!$C$6*'Parametros Generales'!$J$7</f>
        <v>2256214.5</v>
      </c>
      <c r="AA464" s="391">
        <f>+SUM(N464:R464)*'Parametros Generales'!$C$6*'Parametros Generales'!$J$8</f>
        <v>16383862.5</v>
      </c>
      <c r="AB464" s="512">
        <f>+SUM(AB465:AB503)</f>
        <v>153863272.72727281</v>
      </c>
      <c r="AC464" s="512">
        <f>+SUM(AC465:AC503)</f>
        <v>582170701.31236434</v>
      </c>
      <c r="AD464" s="391">
        <f>+'Parametros Generales'!$J$11*SUM(N464:R464)</f>
        <v>3070491</v>
      </c>
      <c r="AE464" s="436">
        <f>+SUM(S464:AD464)</f>
        <v>1341767003.6302843</v>
      </c>
      <c r="AF464" s="391">
        <f>+AE464*(SUM('Res de Costos Pais'!G117:G117))</f>
        <v>91911039.748674482</v>
      </c>
      <c r="AG464" s="391">
        <f>+AE464+AF464</f>
        <v>1433678043.3789587</v>
      </c>
      <c r="AH464" s="391">
        <f>+AG464*SUM('Res de Costos Pais'!$G$123:$G$124)</f>
        <v>13849329.899040742</v>
      </c>
      <c r="AI464" s="391">
        <f>+(AG464+AH464)*'Res de Costos Pais'!$G$136</f>
        <v>3908323.9078505985</v>
      </c>
      <c r="AJ464" s="391">
        <f>+(AG464+AH464+AI464)*'Res de Costos Pais'!$G$140</f>
        <v>5805742.7887434</v>
      </c>
      <c r="AK464" s="391">
        <f>+AG464+AH464+AI464+AJ464</f>
        <v>1457241439.9745934</v>
      </c>
      <c r="AL464" s="820">
        <f>IF(ISERROR((+(AK464/H464)/'Parametros Generales'!$C$6)),0,(+(AK464/H464)/'Parametros Generales'!$C$6))</f>
        <v>36892.188353787176</v>
      </c>
    </row>
    <row r="465" spans="1:38" s="33" customFormat="1" hidden="1" outlineLevel="1">
      <c r="A465" s="1150"/>
      <c r="B465" s="819">
        <v>23</v>
      </c>
      <c r="C465" s="377" t="s">
        <v>1889</v>
      </c>
      <c r="D465" s="378">
        <f>+VLOOKUP(E465,Codigos!$A$1:$B$1123,2,0)</f>
        <v>23001</v>
      </c>
      <c r="E465" s="1110" t="s">
        <v>1890</v>
      </c>
      <c r="F465" s="1102">
        <v>1</v>
      </c>
      <c r="G465" s="379">
        <v>1419</v>
      </c>
      <c r="H465" s="1060">
        <f>CEILING((G465+60),'Parametros Generales'!$C$8)</f>
        <v>1500</v>
      </c>
      <c r="I465" s="1057" t="s">
        <v>318</v>
      </c>
      <c r="J465" s="1058">
        <v>1500</v>
      </c>
      <c r="K465" s="1070" t="str">
        <f t="shared" si="32"/>
        <v>Ok</v>
      </c>
      <c r="L465" s="1077">
        <f t="shared" si="33"/>
        <v>0</v>
      </c>
      <c r="M465" s="1089">
        <f>+H465/'Parametros Generales'!$C$8</f>
        <v>60</v>
      </c>
      <c r="N465" s="1096"/>
      <c r="O465" s="1096"/>
      <c r="P465" s="1096"/>
      <c r="Q465" s="1096"/>
      <c r="R465" s="1096">
        <f>+(M465/'Parametros Generales'!$C$9)</f>
        <v>15</v>
      </c>
      <c r="S465" s="393"/>
      <c r="T465" s="393"/>
      <c r="U465" s="393"/>
      <c r="V465" s="394"/>
      <c r="W465" s="380">
        <f>+R465*'Componentes T.H.'!$Q$9*'Parametros Generales'!$C$6</f>
        <v>75277606.064999998</v>
      </c>
      <c r="X465" s="380">
        <f>(+VLOOKUP(C465,'Transporte y Viaticos'!$B$87:$L$120,2,0)*'Parametros Generales'!$C$7*R465)*(2/3)</f>
        <v>11676576.822607668</v>
      </c>
      <c r="Y465" s="417"/>
      <c r="Z465" s="417"/>
      <c r="AA465" s="417"/>
      <c r="AB465" s="417">
        <f>+M465*'Parametros Generales'!$C$6*'Parametros Generales'!$J$9</f>
        <v>29214545.454545461</v>
      </c>
      <c r="AC465" s="417">
        <f>+H465*'Parametros Generales'!$J$10*'Parametros Generales'!$C$6*'Parametros Generales'!$C$11</f>
        <v>110538740.75551221</v>
      </c>
      <c r="AD465" s="417"/>
      <c r="AE465" s="417"/>
      <c r="AF465" s="417"/>
      <c r="AG465" s="417"/>
      <c r="AH465" s="417"/>
      <c r="AI465" s="417"/>
      <c r="AJ465" s="417"/>
      <c r="AK465" s="436"/>
      <c r="AL465" s="822"/>
    </row>
    <row r="466" spans="1:38" s="33" customFormat="1" hidden="1" outlineLevel="1">
      <c r="A466" s="1150"/>
      <c r="B466" s="821">
        <v>23</v>
      </c>
      <c r="C466" s="371" t="s">
        <v>1889</v>
      </c>
      <c r="D466" s="31">
        <f>+VLOOKUP(E466,Codigos!$A$1:$B$1123,2,0)</f>
        <v>23068</v>
      </c>
      <c r="E466" s="1111" t="s">
        <v>1891</v>
      </c>
      <c r="F466" s="1103">
        <v>1</v>
      </c>
      <c r="G466" s="30">
        <v>198</v>
      </c>
      <c r="H466" s="1061">
        <f>CEILING(G466,'Parametros Generales'!$C$8)</f>
        <v>200</v>
      </c>
      <c r="I466" s="1057" t="s">
        <v>319</v>
      </c>
      <c r="J466" s="1058">
        <v>200</v>
      </c>
      <c r="K466" s="1070" t="str">
        <f t="shared" si="32"/>
        <v>Ok</v>
      </c>
      <c r="L466" s="1077">
        <f t="shared" si="33"/>
        <v>0</v>
      </c>
      <c r="M466" s="1090">
        <f>+H466/'Parametros Generales'!$C$8</f>
        <v>8</v>
      </c>
      <c r="N466" s="1097"/>
      <c r="O466" s="1097"/>
      <c r="P466" s="1097"/>
      <c r="Q466" s="1097"/>
      <c r="R466" s="1097">
        <f>+(M466/'Parametros Generales'!$C$9)</f>
        <v>2</v>
      </c>
      <c r="S466" s="390"/>
      <c r="T466" s="390"/>
      <c r="U466" s="390"/>
      <c r="V466" s="389"/>
      <c r="W466" s="32">
        <f>+R466*'Componentes T.H.'!$Q$9*'Parametros Generales'!$C$6</f>
        <v>10037014.142000001</v>
      </c>
      <c r="X466" s="32">
        <f>(+VLOOKUP(C466,'Transporte y Viaticos'!$B$87:$L$120,2,0)*'Parametros Generales'!$C$7*R466)*(2/3)</f>
        <v>1556876.9096810224</v>
      </c>
      <c r="Y466" s="417"/>
      <c r="Z466" s="417"/>
      <c r="AA466" s="417"/>
      <c r="AB466" s="417">
        <f>+M466*'Parametros Generales'!$C$6*'Parametros Generales'!$J$9</f>
        <v>3895272.7272727285</v>
      </c>
      <c r="AC466" s="417">
        <f>+H466*'Parametros Generales'!$J$10*'Parametros Generales'!$C$6*'Parametros Generales'!$C$11</f>
        <v>14738498.767401624</v>
      </c>
      <c r="AD466" s="417"/>
      <c r="AE466" s="417"/>
      <c r="AF466" s="417"/>
      <c r="AG466" s="417"/>
      <c r="AH466" s="417"/>
      <c r="AI466" s="417"/>
      <c r="AJ466" s="417"/>
      <c r="AK466" s="436"/>
      <c r="AL466" s="822"/>
    </row>
    <row r="467" spans="1:38" s="33" customFormat="1" hidden="1" outlineLevel="1">
      <c r="A467" s="1150"/>
      <c r="B467" s="821">
        <v>23</v>
      </c>
      <c r="C467" s="371" t="s">
        <v>1889</v>
      </c>
      <c r="D467" s="31">
        <f>+VLOOKUP(E467,Codigos!$A$1:$B$1123,2,0)</f>
        <v>23079</v>
      </c>
      <c r="E467" s="1111" t="s">
        <v>1892</v>
      </c>
      <c r="F467" s="1103">
        <v>1</v>
      </c>
      <c r="G467" s="30">
        <v>198</v>
      </c>
      <c r="H467" s="1061">
        <f>CEILING(G467,'Parametros Generales'!$C$8)</f>
        <v>200</v>
      </c>
      <c r="I467" s="1057" t="s">
        <v>320</v>
      </c>
      <c r="J467" s="1058">
        <v>200</v>
      </c>
      <c r="K467" s="1070" t="str">
        <f t="shared" si="32"/>
        <v>Ok</v>
      </c>
      <c r="L467" s="1077">
        <f t="shared" si="33"/>
        <v>0</v>
      </c>
      <c r="M467" s="1090">
        <f>+H467/'Parametros Generales'!$C$8</f>
        <v>8</v>
      </c>
      <c r="N467" s="1097"/>
      <c r="O467" s="1097"/>
      <c r="P467" s="1097"/>
      <c r="Q467" s="1097"/>
      <c r="R467" s="1097">
        <f>+(M467/'Parametros Generales'!$C$9)</f>
        <v>2</v>
      </c>
      <c r="S467" s="390"/>
      <c r="T467" s="390"/>
      <c r="U467" s="390"/>
      <c r="V467" s="389"/>
      <c r="W467" s="32">
        <f>+R467*'Componentes T.H.'!$Q$9*'Parametros Generales'!$C$6</f>
        <v>10037014.142000001</v>
      </c>
      <c r="X467" s="32">
        <f>(+VLOOKUP(C467,'Transporte y Viaticos'!$B$87:$L$120,2,0)*'Parametros Generales'!$C$7*R467)*(2/3)</f>
        <v>1556876.9096810224</v>
      </c>
      <c r="Y467" s="417"/>
      <c r="Z467" s="417"/>
      <c r="AA467" s="417"/>
      <c r="AB467" s="417">
        <f>+M467*'Parametros Generales'!$C$6*'Parametros Generales'!$J$9</f>
        <v>3895272.7272727285</v>
      </c>
      <c r="AC467" s="417">
        <f>+H467*'Parametros Generales'!$J$10*'Parametros Generales'!$C$6*'Parametros Generales'!$C$11</f>
        <v>14738498.767401624</v>
      </c>
      <c r="AD467" s="417"/>
      <c r="AE467" s="417"/>
      <c r="AF467" s="417"/>
      <c r="AG467" s="417"/>
      <c r="AH467" s="417"/>
      <c r="AI467" s="417"/>
      <c r="AJ467" s="417"/>
      <c r="AK467" s="436"/>
      <c r="AL467" s="822"/>
    </row>
    <row r="468" spans="1:38" s="33" customFormat="1" hidden="1" outlineLevel="1">
      <c r="A468" s="1150"/>
      <c r="B468" s="821">
        <v>23</v>
      </c>
      <c r="C468" s="371" t="s">
        <v>1889</v>
      </c>
      <c r="D468" s="31">
        <f>+VLOOKUP(E468,Codigos!$A$1:$B$1123,2,0)</f>
        <v>23090</v>
      </c>
      <c r="E468" s="1111" t="s">
        <v>1893</v>
      </c>
      <c r="F468" s="1103">
        <v>1</v>
      </c>
      <c r="G468" s="30">
        <v>198</v>
      </c>
      <c r="H468" s="1061">
        <f>CEILING(G468,'Parametros Generales'!$C$8)</f>
        <v>200</v>
      </c>
      <c r="I468" s="1057" t="s">
        <v>321</v>
      </c>
      <c r="J468" s="1058">
        <v>200</v>
      </c>
      <c r="K468" s="1070" t="str">
        <f t="shared" si="32"/>
        <v>Ok</v>
      </c>
      <c r="L468" s="1077">
        <f t="shared" si="33"/>
        <v>0</v>
      </c>
      <c r="M468" s="1090">
        <f>+H468/'Parametros Generales'!$C$8</f>
        <v>8</v>
      </c>
      <c r="N468" s="1097"/>
      <c r="O468" s="1097"/>
      <c r="P468" s="1097"/>
      <c r="Q468" s="1097"/>
      <c r="R468" s="1097">
        <f>+(M468/'Parametros Generales'!$C$9)</f>
        <v>2</v>
      </c>
      <c r="S468" s="390"/>
      <c r="T468" s="390"/>
      <c r="U468" s="390"/>
      <c r="V468" s="389"/>
      <c r="W468" s="32">
        <f>+R468*'Componentes T.H.'!$Q$9*'Parametros Generales'!$C$6</f>
        <v>10037014.142000001</v>
      </c>
      <c r="X468" s="32">
        <f>(+VLOOKUP(C468,'Transporte y Viaticos'!$B$87:$L$120,2,0)*'Parametros Generales'!$C$7*R468)*(2/3)</f>
        <v>1556876.9096810224</v>
      </c>
      <c r="Y468" s="417"/>
      <c r="Z468" s="417"/>
      <c r="AA468" s="417"/>
      <c r="AB468" s="417">
        <f>+M468*'Parametros Generales'!$C$6*'Parametros Generales'!$J$9</f>
        <v>3895272.7272727285</v>
      </c>
      <c r="AC468" s="417">
        <f>+H468*'Parametros Generales'!$J$10*'Parametros Generales'!$C$6*'Parametros Generales'!$C$11</f>
        <v>14738498.767401624</v>
      </c>
      <c r="AD468" s="417"/>
      <c r="AE468" s="417"/>
      <c r="AF468" s="417"/>
      <c r="AG468" s="417"/>
      <c r="AH468" s="417"/>
      <c r="AI468" s="417"/>
      <c r="AJ468" s="417"/>
      <c r="AK468" s="436"/>
      <c r="AL468" s="822"/>
    </row>
    <row r="469" spans="1:38" s="33" customFormat="1" hidden="1" outlineLevel="1">
      <c r="A469" s="1150"/>
      <c r="B469" s="821">
        <v>23</v>
      </c>
      <c r="C469" s="371" t="s">
        <v>1889</v>
      </c>
      <c r="D469" s="31">
        <f>+VLOOKUP(E469,Codigos!$A$1:$B$1123,2,0)</f>
        <v>23162</v>
      </c>
      <c r="E469" s="1111" t="s">
        <v>1894</v>
      </c>
      <c r="F469" s="1103">
        <v>1</v>
      </c>
      <c r="G469" s="30">
        <v>396</v>
      </c>
      <c r="H469" s="1061">
        <f>CEILING(G469,'Parametros Generales'!$C$8)</f>
        <v>400</v>
      </c>
      <c r="I469" s="1057" t="s">
        <v>322</v>
      </c>
      <c r="J469" s="1058">
        <v>400</v>
      </c>
      <c r="K469" s="1070" t="str">
        <f t="shared" si="32"/>
        <v>Ok</v>
      </c>
      <c r="L469" s="1077">
        <f t="shared" si="33"/>
        <v>0</v>
      </c>
      <c r="M469" s="1090">
        <f>+H469/'Parametros Generales'!$C$8</f>
        <v>16</v>
      </c>
      <c r="N469" s="1097"/>
      <c r="O469" s="1097"/>
      <c r="P469" s="1097"/>
      <c r="Q469" s="1097"/>
      <c r="R469" s="1097">
        <f>+(M469/'Parametros Generales'!$C$9)</f>
        <v>4</v>
      </c>
      <c r="S469" s="390"/>
      <c r="T469" s="390"/>
      <c r="U469" s="390"/>
      <c r="V469" s="389"/>
      <c r="W469" s="32">
        <f>+R469*'Componentes T.H.'!$Q$9*'Parametros Generales'!$C$6</f>
        <v>20074028.284000002</v>
      </c>
      <c r="X469" s="32">
        <f>(+VLOOKUP(C469,'Transporte y Viaticos'!$B$87:$L$120,2,0)*'Parametros Generales'!$C$7*R469)*(2/3)</f>
        <v>3113753.8193620448</v>
      </c>
      <c r="Y469" s="417"/>
      <c r="Z469" s="417"/>
      <c r="AA469" s="417"/>
      <c r="AB469" s="417">
        <f>+M469*'Parametros Generales'!$C$6*'Parametros Generales'!$J$9</f>
        <v>7790545.4545454569</v>
      </c>
      <c r="AC469" s="417">
        <f>+H469*'Parametros Generales'!$J$10*'Parametros Generales'!$C$6*'Parametros Generales'!$C$11</f>
        <v>29476997.534803249</v>
      </c>
      <c r="AD469" s="417"/>
      <c r="AE469" s="417"/>
      <c r="AF469" s="417"/>
      <c r="AG469" s="417"/>
      <c r="AH469" s="417"/>
      <c r="AI469" s="417"/>
      <c r="AJ469" s="417"/>
      <c r="AK469" s="436"/>
      <c r="AL469" s="822"/>
    </row>
    <row r="470" spans="1:38" s="33" customFormat="1" hidden="1" outlineLevel="1">
      <c r="A470" s="1150"/>
      <c r="B470" s="821">
        <v>23</v>
      </c>
      <c r="C470" s="371" t="s">
        <v>1889</v>
      </c>
      <c r="D470" s="31">
        <f>+VLOOKUP(E470,Codigos!$A$1:$B$1123,2,0)</f>
        <v>23168</v>
      </c>
      <c r="E470" s="1111" t="s">
        <v>1895</v>
      </c>
      <c r="F470" s="1103">
        <v>1</v>
      </c>
      <c r="G470" s="30">
        <v>198</v>
      </c>
      <c r="H470" s="1061">
        <f>CEILING(G470,'Parametros Generales'!$C$8)</f>
        <v>200</v>
      </c>
      <c r="I470" s="1057" t="s">
        <v>323</v>
      </c>
      <c r="J470" s="1058">
        <v>200</v>
      </c>
      <c r="K470" s="1070" t="str">
        <f t="shared" si="32"/>
        <v>Ok</v>
      </c>
      <c r="L470" s="1077">
        <f t="shared" si="33"/>
        <v>0</v>
      </c>
      <c r="M470" s="1090">
        <f>+H470/'Parametros Generales'!$C$8</f>
        <v>8</v>
      </c>
      <c r="N470" s="1097"/>
      <c r="O470" s="1097"/>
      <c r="P470" s="1097"/>
      <c r="Q470" s="1097"/>
      <c r="R470" s="1097">
        <f>+(M470/'Parametros Generales'!$C$9)</f>
        <v>2</v>
      </c>
      <c r="S470" s="390"/>
      <c r="T470" s="390"/>
      <c r="U470" s="390"/>
      <c r="V470" s="389"/>
      <c r="W470" s="32">
        <f>+R470*'Componentes T.H.'!$Q$9*'Parametros Generales'!$C$6</f>
        <v>10037014.142000001</v>
      </c>
      <c r="X470" s="32">
        <f>(+VLOOKUP(C470,'Transporte y Viaticos'!$B$87:$L$120,2,0)*'Parametros Generales'!$C$7*R470)*(2/3)</f>
        <v>1556876.9096810224</v>
      </c>
      <c r="Y470" s="417"/>
      <c r="Z470" s="417"/>
      <c r="AA470" s="417"/>
      <c r="AB470" s="417">
        <f>+M470*'Parametros Generales'!$C$6*'Parametros Generales'!$J$9</f>
        <v>3895272.7272727285</v>
      </c>
      <c r="AC470" s="417">
        <f>+H470*'Parametros Generales'!$J$10*'Parametros Generales'!$C$6*'Parametros Generales'!$C$11</f>
        <v>14738498.767401624</v>
      </c>
      <c r="AD470" s="417"/>
      <c r="AE470" s="417"/>
      <c r="AF470" s="417"/>
      <c r="AG470" s="417"/>
      <c r="AH470" s="417"/>
      <c r="AI470" s="417"/>
      <c r="AJ470" s="417"/>
      <c r="AK470" s="436"/>
      <c r="AL470" s="822"/>
    </row>
    <row r="471" spans="1:38" s="33" customFormat="1" hidden="1" outlineLevel="1">
      <c r="A471" s="1150"/>
      <c r="B471" s="821">
        <v>23</v>
      </c>
      <c r="C471" s="371" t="s">
        <v>1889</v>
      </c>
      <c r="D471" s="31">
        <f>+VLOOKUP(E471,Codigos!$A$1:$B$1123,2,0)</f>
        <v>23182</v>
      </c>
      <c r="E471" s="1111" t="s">
        <v>1896</v>
      </c>
      <c r="F471" s="1103">
        <v>1</v>
      </c>
      <c r="G471" s="30">
        <v>198</v>
      </c>
      <c r="H471" s="1061">
        <f>CEILING(G471,'Parametros Generales'!$C$8)</f>
        <v>200</v>
      </c>
      <c r="I471" s="1057" t="s">
        <v>324</v>
      </c>
      <c r="J471" s="1058">
        <v>200</v>
      </c>
      <c r="K471" s="1070" t="str">
        <f t="shared" si="32"/>
        <v>Ok</v>
      </c>
      <c r="L471" s="1077">
        <f t="shared" si="33"/>
        <v>0</v>
      </c>
      <c r="M471" s="1090">
        <f>+H471/'Parametros Generales'!$C$8</f>
        <v>8</v>
      </c>
      <c r="N471" s="1097"/>
      <c r="O471" s="1097"/>
      <c r="P471" s="1097"/>
      <c r="Q471" s="1097"/>
      <c r="R471" s="1097">
        <f>+(M471/'Parametros Generales'!$C$9)</f>
        <v>2</v>
      </c>
      <c r="S471" s="390"/>
      <c r="T471" s="390"/>
      <c r="U471" s="390"/>
      <c r="V471" s="389"/>
      <c r="W471" s="32">
        <f>+R471*'Componentes T.H.'!$Q$9*'Parametros Generales'!$C$6</f>
        <v>10037014.142000001</v>
      </c>
      <c r="X471" s="32">
        <f>(+VLOOKUP(C471,'Transporte y Viaticos'!$B$87:$L$120,2,0)*'Parametros Generales'!$C$7*R471)*(2/3)</f>
        <v>1556876.9096810224</v>
      </c>
      <c r="Y471" s="417"/>
      <c r="Z471" s="417"/>
      <c r="AA471" s="417"/>
      <c r="AB471" s="417">
        <f>+M471*'Parametros Generales'!$C$6*'Parametros Generales'!$J$9</f>
        <v>3895272.7272727285</v>
      </c>
      <c r="AC471" s="417">
        <f>+H471*'Parametros Generales'!$J$10*'Parametros Generales'!$C$6*'Parametros Generales'!$C$11</f>
        <v>14738498.767401624</v>
      </c>
      <c r="AD471" s="417"/>
      <c r="AE471" s="417"/>
      <c r="AF471" s="417"/>
      <c r="AG471" s="417"/>
      <c r="AH471" s="417"/>
      <c r="AI471" s="417"/>
      <c r="AJ471" s="417"/>
      <c r="AK471" s="436"/>
      <c r="AL471" s="822"/>
    </row>
    <row r="472" spans="1:38" s="33" customFormat="1" hidden="1" outlineLevel="1">
      <c r="A472" s="1150"/>
      <c r="B472" s="821">
        <v>23</v>
      </c>
      <c r="C472" s="371" t="s">
        <v>1889</v>
      </c>
      <c r="D472" s="31">
        <f>+VLOOKUP(E472,Codigos!$A$1:$B$1123,2,0)</f>
        <v>23189</v>
      </c>
      <c r="E472" s="1111" t="s">
        <v>1897</v>
      </c>
      <c r="F472" s="1103">
        <v>1</v>
      </c>
      <c r="G472" s="30">
        <v>198</v>
      </c>
      <c r="H472" s="1061">
        <f>CEILING(G472,'Parametros Generales'!$C$8)</f>
        <v>200</v>
      </c>
      <c r="I472" s="1057" t="s">
        <v>325</v>
      </c>
      <c r="J472" s="1058">
        <v>200</v>
      </c>
      <c r="K472" s="1070" t="str">
        <f t="shared" si="32"/>
        <v>Ok</v>
      </c>
      <c r="L472" s="1077">
        <f t="shared" si="33"/>
        <v>0</v>
      </c>
      <c r="M472" s="1090">
        <f>+H472/'Parametros Generales'!$C$8</f>
        <v>8</v>
      </c>
      <c r="N472" s="1097"/>
      <c r="O472" s="1097"/>
      <c r="P472" s="1097"/>
      <c r="Q472" s="1097"/>
      <c r="R472" s="1097">
        <f>+(M472/'Parametros Generales'!$C$9)</f>
        <v>2</v>
      </c>
      <c r="S472" s="390"/>
      <c r="T472" s="390"/>
      <c r="U472" s="390"/>
      <c r="V472" s="389"/>
      <c r="W472" s="32">
        <f>+R472*'Componentes T.H.'!$Q$9*'Parametros Generales'!$C$6</f>
        <v>10037014.142000001</v>
      </c>
      <c r="X472" s="32">
        <f>(+VLOOKUP(C472,'Transporte y Viaticos'!$B$87:$L$120,2,0)*'Parametros Generales'!$C$7*R472)*(2/3)</f>
        <v>1556876.9096810224</v>
      </c>
      <c r="Y472" s="417"/>
      <c r="Z472" s="417"/>
      <c r="AA472" s="417"/>
      <c r="AB472" s="417">
        <f>+M472*'Parametros Generales'!$C$6*'Parametros Generales'!$J$9</f>
        <v>3895272.7272727285</v>
      </c>
      <c r="AC472" s="417">
        <f>+H472*'Parametros Generales'!$J$10*'Parametros Generales'!$C$6*'Parametros Generales'!$C$11</f>
        <v>14738498.767401624</v>
      </c>
      <c r="AD472" s="417"/>
      <c r="AE472" s="417"/>
      <c r="AF472" s="417"/>
      <c r="AG472" s="417"/>
      <c r="AH472" s="417"/>
      <c r="AI472" s="417"/>
      <c r="AJ472" s="417"/>
      <c r="AK472" s="436"/>
      <c r="AL472" s="822"/>
    </row>
    <row r="473" spans="1:38" s="33" customFormat="1" hidden="1" outlineLevel="1">
      <c r="A473" s="1150"/>
      <c r="B473" s="821">
        <v>23</v>
      </c>
      <c r="C473" s="371" t="s">
        <v>1889</v>
      </c>
      <c r="D473" s="31">
        <f>+VLOOKUP(E473,Codigos!$A$1:$B$1123,2,0)</f>
        <v>23300</v>
      </c>
      <c r="E473" s="1111" t="s">
        <v>1898</v>
      </c>
      <c r="F473" s="1103">
        <v>1</v>
      </c>
      <c r="G473" s="30">
        <v>198</v>
      </c>
      <c r="H473" s="1061">
        <f>CEILING(G473,'Parametros Generales'!$C$8)</f>
        <v>200</v>
      </c>
      <c r="I473" s="1057" t="s">
        <v>326</v>
      </c>
      <c r="J473" s="1058">
        <v>200</v>
      </c>
      <c r="K473" s="1070" t="str">
        <f t="shared" si="32"/>
        <v>Ok</v>
      </c>
      <c r="L473" s="1077">
        <f t="shared" si="33"/>
        <v>0</v>
      </c>
      <c r="M473" s="1090">
        <f>+H473/'Parametros Generales'!$C$8</f>
        <v>8</v>
      </c>
      <c r="N473" s="1097"/>
      <c r="O473" s="1097"/>
      <c r="P473" s="1097"/>
      <c r="Q473" s="1097"/>
      <c r="R473" s="1097">
        <f>+(M473/'Parametros Generales'!$C$9)</f>
        <v>2</v>
      </c>
      <c r="S473" s="390"/>
      <c r="T473" s="390"/>
      <c r="U473" s="390"/>
      <c r="V473" s="389"/>
      <c r="W473" s="32">
        <f>+R473*'Componentes T.H.'!$Q$9*'Parametros Generales'!$C$6</f>
        <v>10037014.142000001</v>
      </c>
      <c r="X473" s="32">
        <f>(+VLOOKUP(C473,'Transporte y Viaticos'!$B$87:$L$120,2,0)*'Parametros Generales'!$C$7*R473)*(2/3)</f>
        <v>1556876.9096810224</v>
      </c>
      <c r="Y473" s="417"/>
      <c r="Z473" s="417"/>
      <c r="AA473" s="417"/>
      <c r="AB473" s="417">
        <f>+M473*'Parametros Generales'!$C$6*'Parametros Generales'!$J$9</f>
        <v>3895272.7272727285</v>
      </c>
      <c r="AC473" s="417">
        <f>+H473*'Parametros Generales'!$J$10*'Parametros Generales'!$C$6*'Parametros Generales'!$C$11</f>
        <v>14738498.767401624</v>
      </c>
      <c r="AD473" s="417"/>
      <c r="AE473" s="417"/>
      <c r="AF473" s="417"/>
      <c r="AG473" s="417"/>
      <c r="AH473" s="417"/>
      <c r="AI473" s="417"/>
      <c r="AJ473" s="417"/>
      <c r="AK473" s="436"/>
      <c r="AL473" s="822"/>
    </row>
    <row r="474" spans="1:38" s="33" customFormat="1" hidden="1" outlineLevel="1">
      <c r="A474" s="1150"/>
      <c r="B474" s="821">
        <v>23</v>
      </c>
      <c r="C474" s="371" t="s">
        <v>1889</v>
      </c>
      <c r="D474" s="31">
        <f>+VLOOKUP(E474,Codigos!$A$1:$B$1123,2,0)</f>
        <v>23350</v>
      </c>
      <c r="E474" s="1111" t="s">
        <v>1899</v>
      </c>
      <c r="F474" s="1103">
        <v>1</v>
      </c>
      <c r="G474" s="30">
        <v>198</v>
      </c>
      <c r="H474" s="1061">
        <f>CEILING(G474,'Parametros Generales'!$C$8)</f>
        <v>200</v>
      </c>
      <c r="I474" s="1057" t="s">
        <v>327</v>
      </c>
      <c r="J474" s="1058">
        <v>200</v>
      </c>
      <c r="K474" s="1070" t="str">
        <f t="shared" si="32"/>
        <v>Ok</v>
      </c>
      <c r="L474" s="1077">
        <f t="shared" si="33"/>
        <v>0</v>
      </c>
      <c r="M474" s="1090">
        <f>+H474/'Parametros Generales'!$C$8</f>
        <v>8</v>
      </c>
      <c r="N474" s="1097"/>
      <c r="O474" s="1097"/>
      <c r="P474" s="1097"/>
      <c r="Q474" s="1097"/>
      <c r="R474" s="1097">
        <f>+(M474/'Parametros Generales'!$C$9)</f>
        <v>2</v>
      </c>
      <c r="S474" s="390"/>
      <c r="T474" s="390"/>
      <c r="U474" s="390"/>
      <c r="V474" s="389"/>
      <c r="W474" s="32">
        <f>+R474*'Componentes T.H.'!$Q$9*'Parametros Generales'!$C$6</f>
        <v>10037014.142000001</v>
      </c>
      <c r="X474" s="32">
        <f>(+VLOOKUP(C474,'Transporte y Viaticos'!$B$87:$L$120,2,0)*'Parametros Generales'!$C$7*R474)*(2/3)</f>
        <v>1556876.9096810224</v>
      </c>
      <c r="Y474" s="417"/>
      <c r="Z474" s="417"/>
      <c r="AA474" s="417"/>
      <c r="AB474" s="417">
        <f>+M474*'Parametros Generales'!$C$6*'Parametros Generales'!$J$9</f>
        <v>3895272.7272727285</v>
      </c>
      <c r="AC474" s="417">
        <f>+H474*'Parametros Generales'!$J$10*'Parametros Generales'!$C$6*'Parametros Generales'!$C$11</f>
        <v>14738498.767401624</v>
      </c>
      <c r="AD474" s="417"/>
      <c r="AE474" s="417"/>
      <c r="AF474" s="417"/>
      <c r="AG474" s="417"/>
      <c r="AH474" s="417"/>
      <c r="AI474" s="417"/>
      <c r="AJ474" s="417"/>
      <c r="AK474" s="436"/>
      <c r="AL474" s="822"/>
    </row>
    <row r="475" spans="1:38" s="33" customFormat="1" hidden="1" outlineLevel="1">
      <c r="A475" s="1150"/>
      <c r="B475" s="821">
        <v>23</v>
      </c>
      <c r="C475" s="371" t="s">
        <v>1889</v>
      </c>
      <c r="D475" s="31">
        <f>+VLOOKUP(E475,Codigos!$A$1:$B$1123,2,0)</f>
        <v>23417</v>
      </c>
      <c r="E475" s="1111" t="s">
        <v>1900</v>
      </c>
      <c r="F475" s="1103">
        <v>1</v>
      </c>
      <c r="G475" s="30">
        <v>396</v>
      </c>
      <c r="H475" s="1061">
        <f>CEILING(G475,'Parametros Generales'!$C$8)</f>
        <v>400</v>
      </c>
      <c r="I475" s="1057" t="s">
        <v>328</v>
      </c>
      <c r="J475" s="1058">
        <v>400</v>
      </c>
      <c r="K475" s="1070" t="str">
        <f t="shared" si="32"/>
        <v>Ok</v>
      </c>
      <c r="L475" s="1077">
        <f t="shared" si="33"/>
        <v>0</v>
      </c>
      <c r="M475" s="1090">
        <f>+H475/'Parametros Generales'!$C$8</f>
        <v>16</v>
      </c>
      <c r="N475" s="1097"/>
      <c r="O475" s="1097"/>
      <c r="P475" s="1097"/>
      <c r="Q475" s="1097"/>
      <c r="R475" s="1097">
        <f>+(M475/'Parametros Generales'!$C$9)</f>
        <v>4</v>
      </c>
      <c r="S475" s="390"/>
      <c r="T475" s="390"/>
      <c r="U475" s="390"/>
      <c r="V475" s="389"/>
      <c r="W475" s="32">
        <f>+R475*'Componentes T.H.'!$Q$9*'Parametros Generales'!$C$6</f>
        <v>20074028.284000002</v>
      </c>
      <c r="X475" s="32">
        <f>(+VLOOKUP(C475,'Transporte y Viaticos'!$B$87:$L$120,2,0)*'Parametros Generales'!$C$7*R475)*(2/3)</f>
        <v>3113753.8193620448</v>
      </c>
      <c r="Y475" s="417"/>
      <c r="Z475" s="417"/>
      <c r="AA475" s="417"/>
      <c r="AB475" s="417">
        <f>+M475*'Parametros Generales'!$C$6*'Parametros Generales'!$J$9</f>
        <v>7790545.4545454569</v>
      </c>
      <c r="AC475" s="417">
        <f>+H475*'Parametros Generales'!$J$10*'Parametros Generales'!$C$6*'Parametros Generales'!$C$11</f>
        <v>29476997.534803249</v>
      </c>
      <c r="AD475" s="417"/>
      <c r="AE475" s="417"/>
      <c r="AF475" s="417"/>
      <c r="AG475" s="417"/>
      <c r="AH475" s="417"/>
      <c r="AI475" s="417"/>
      <c r="AJ475" s="417"/>
      <c r="AK475" s="436"/>
      <c r="AL475" s="822"/>
    </row>
    <row r="476" spans="1:38" s="33" customFormat="1" hidden="1" outlineLevel="1">
      <c r="A476" s="1150"/>
      <c r="B476" s="821">
        <v>23</v>
      </c>
      <c r="C476" s="371" t="s">
        <v>1889</v>
      </c>
      <c r="D476" s="31">
        <f>+VLOOKUP(E476,Codigos!$A$1:$B$1123,2,0)</f>
        <v>23419</v>
      </c>
      <c r="E476" s="1111" t="s">
        <v>1901</v>
      </c>
      <c r="F476" s="1103">
        <v>1</v>
      </c>
      <c r="G476" s="30">
        <v>198</v>
      </c>
      <c r="H476" s="1061">
        <f>CEILING(G476,'Parametros Generales'!$C$8)</f>
        <v>200</v>
      </c>
      <c r="I476" s="1057" t="s">
        <v>329</v>
      </c>
      <c r="J476" s="1058">
        <v>200</v>
      </c>
      <c r="K476" s="1070" t="str">
        <f t="shared" si="32"/>
        <v>Ok</v>
      </c>
      <c r="L476" s="1077">
        <f t="shared" si="33"/>
        <v>0</v>
      </c>
      <c r="M476" s="1090">
        <f>+H476/'Parametros Generales'!$C$8</f>
        <v>8</v>
      </c>
      <c r="N476" s="1097"/>
      <c r="O476" s="1097"/>
      <c r="P476" s="1097"/>
      <c r="Q476" s="1097"/>
      <c r="R476" s="1097">
        <f>+(M476/'Parametros Generales'!$C$9)</f>
        <v>2</v>
      </c>
      <c r="S476" s="390"/>
      <c r="T476" s="390"/>
      <c r="U476" s="390"/>
      <c r="V476" s="389"/>
      <c r="W476" s="32">
        <f>+R476*'Componentes T.H.'!$Q$9*'Parametros Generales'!$C$6</f>
        <v>10037014.142000001</v>
      </c>
      <c r="X476" s="32">
        <f>(+VLOOKUP(C476,'Transporte y Viaticos'!$B$87:$L$120,2,0)*'Parametros Generales'!$C$7*R476)*(2/3)</f>
        <v>1556876.9096810224</v>
      </c>
      <c r="Y476" s="417"/>
      <c r="Z476" s="417"/>
      <c r="AA476" s="417"/>
      <c r="AB476" s="417">
        <f>+M476*'Parametros Generales'!$C$6*'Parametros Generales'!$J$9</f>
        <v>3895272.7272727285</v>
      </c>
      <c r="AC476" s="417">
        <f>+H476*'Parametros Generales'!$J$10*'Parametros Generales'!$C$6*'Parametros Generales'!$C$11</f>
        <v>14738498.767401624</v>
      </c>
      <c r="AD476" s="417"/>
      <c r="AE476" s="417"/>
      <c r="AF476" s="417"/>
      <c r="AG476" s="417"/>
      <c r="AH476" s="417"/>
      <c r="AI476" s="417"/>
      <c r="AJ476" s="417"/>
      <c r="AK476" s="436"/>
      <c r="AL476" s="822"/>
    </row>
    <row r="477" spans="1:38" s="33" customFormat="1" hidden="1" outlineLevel="1">
      <c r="A477" s="1150"/>
      <c r="B477" s="821">
        <v>23</v>
      </c>
      <c r="C477" s="371" t="s">
        <v>1889</v>
      </c>
      <c r="D477" s="31">
        <f>+VLOOKUP(E477,Codigos!$A$1:$B$1123,2,0)</f>
        <v>23464</v>
      </c>
      <c r="E477" s="1111" t="s">
        <v>1902</v>
      </c>
      <c r="F477" s="1103">
        <v>1</v>
      </c>
      <c r="G477" s="30">
        <v>198</v>
      </c>
      <c r="H477" s="1061">
        <f>CEILING(G477,'Parametros Generales'!$C$8)</f>
        <v>200</v>
      </c>
      <c r="I477" s="1057" t="s">
        <v>330</v>
      </c>
      <c r="J477" s="1058">
        <v>200</v>
      </c>
      <c r="K477" s="1070" t="str">
        <f t="shared" si="32"/>
        <v>Ok</v>
      </c>
      <c r="L477" s="1077">
        <f t="shared" si="33"/>
        <v>0</v>
      </c>
      <c r="M477" s="1090">
        <f>+H477/'Parametros Generales'!$C$8</f>
        <v>8</v>
      </c>
      <c r="N477" s="1097"/>
      <c r="O477" s="1097"/>
      <c r="P477" s="1097"/>
      <c r="Q477" s="1097"/>
      <c r="R477" s="1097">
        <f>+(M477/'Parametros Generales'!$C$9)</f>
        <v>2</v>
      </c>
      <c r="S477" s="390"/>
      <c r="T477" s="390"/>
      <c r="U477" s="390"/>
      <c r="V477" s="389"/>
      <c r="W477" s="32">
        <f>+R477*'Componentes T.H.'!$Q$9*'Parametros Generales'!$C$6</f>
        <v>10037014.142000001</v>
      </c>
      <c r="X477" s="32">
        <f>(+VLOOKUP(C477,'Transporte y Viaticos'!$B$87:$L$120,2,0)*'Parametros Generales'!$C$7*R477)*(2/3)</f>
        <v>1556876.9096810224</v>
      </c>
      <c r="Y477" s="417"/>
      <c r="Z477" s="417"/>
      <c r="AA477" s="417"/>
      <c r="AB477" s="417">
        <f>+M477*'Parametros Generales'!$C$6*'Parametros Generales'!$J$9</f>
        <v>3895272.7272727285</v>
      </c>
      <c r="AC477" s="417">
        <f>+H477*'Parametros Generales'!$J$10*'Parametros Generales'!$C$6*'Parametros Generales'!$C$11</f>
        <v>14738498.767401624</v>
      </c>
      <c r="AD477" s="417"/>
      <c r="AE477" s="417"/>
      <c r="AF477" s="417"/>
      <c r="AG477" s="417"/>
      <c r="AH477" s="417"/>
      <c r="AI477" s="417"/>
      <c r="AJ477" s="417"/>
      <c r="AK477" s="436"/>
      <c r="AL477" s="822"/>
    </row>
    <row r="478" spans="1:38" s="33" customFormat="1" hidden="1" outlineLevel="1">
      <c r="A478" s="1150"/>
      <c r="B478" s="821">
        <v>23</v>
      </c>
      <c r="C478" s="371" t="s">
        <v>1889</v>
      </c>
      <c r="D478" s="31">
        <f>+VLOOKUP(E478,Codigos!$A$1:$B$1123,2,0)</f>
        <v>23466</v>
      </c>
      <c r="E478" s="1111" t="s">
        <v>1903</v>
      </c>
      <c r="F478" s="1103">
        <v>1</v>
      </c>
      <c r="G478" s="30">
        <v>198</v>
      </c>
      <c r="H478" s="1061">
        <f>CEILING(G478,'Parametros Generales'!$C$8)</f>
        <v>200</v>
      </c>
      <c r="I478" s="1057" t="s">
        <v>331</v>
      </c>
      <c r="J478" s="1058">
        <v>200</v>
      </c>
      <c r="K478" s="1070" t="str">
        <f t="shared" si="32"/>
        <v>Ok</v>
      </c>
      <c r="L478" s="1077">
        <f t="shared" si="33"/>
        <v>0</v>
      </c>
      <c r="M478" s="1090">
        <f>+H478/'Parametros Generales'!$C$8</f>
        <v>8</v>
      </c>
      <c r="N478" s="1097"/>
      <c r="O478" s="1097"/>
      <c r="P478" s="1097"/>
      <c r="Q478" s="1097"/>
      <c r="R478" s="1097">
        <f>+(M478/'Parametros Generales'!$C$9)</f>
        <v>2</v>
      </c>
      <c r="S478" s="390"/>
      <c r="T478" s="390"/>
      <c r="U478" s="390"/>
      <c r="V478" s="389"/>
      <c r="W478" s="32">
        <f>+R478*'Componentes T.H.'!$Q$9*'Parametros Generales'!$C$6</f>
        <v>10037014.142000001</v>
      </c>
      <c r="X478" s="32">
        <f>(+VLOOKUP(C478,'Transporte y Viaticos'!$B$87:$L$120,2,0)*'Parametros Generales'!$C$7*R478)*(2/3)</f>
        <v>1556876.9096810224</v>
      </c>
      <c r="Y478" s="417"/>
      <c r="Z478" s="417"/>
      <c r="AA478" s="417"/>
      <c r="AB478" s="417">
        <f>+M478*'Parametros Generales'!$C$6*'Parametros Generales'!$J$9</f>
        <v>3895272.7272727285</v>
      </c>
      <c r="AC478" s="417">
        <f>+H478*'Parametros Generales'!$J$10*'Parametros Generales'!$C$6*'Parametros Generales'!$C$11</f>
        <v>14738498.767401624</v>
      </c>
      <c r="AD478" s="417"/>
      <c r="AE478" s="417"/>
      <c r="AF478" s="417"/>
      <c r="AG478" s="417"/>
      <c r="AH478" s="417"/>
      <c r="AI478" s="417"/>
      <c r="AJ478" s="417"/>
      <c r="AK478" s="436"/>
      <c r="AL478" s="822"/>
    </row>
    <row r="479" spans="1:38" s="33" customFormat="1" hidden="1" outlineLevel="1">
      <c r="A479" s="1150"/>
      <c r="B479" s="821">
        <v>23</v>
      </c>
      <c r="C479" s="371" t="s">
        <v>1889</v>
      </c>
      <c r="D479" s="31">
        <f>+VLOOKUP(E479,Codigos!$A$1:$B$1123,2,0)</f>
        <v>23500</v>
      </c>
      <c r="E479" s="1111" t="s">
        <v>1904</v>
      </c>
      <c r="F479" s="1103">
        <v>1</v>
      </c>
      <c r="G479" s="30">
        <v>198</v>
      </c>
      <c r="H479" s="1061">
        <f>CEILING(G479,'Parametros Generales'!$C$8)</f>
        <v>200</v>
      </c>
      <c r="I479" s="1057" t="s">
        <v>332</v>
      </c>
      <c r="J479" s="1058">
        <v>200</v>
      </c>
      <c r="K479" s="1070" t="str">
        <f t="shared" si="32"/>
        <v>Ok</v>
      </c>
      <c r="L479" s="1077">
        <f t="shared" si="33"/>
        <v>0</v>
      </c>
      <c r="M479" s="1090">
        <f>+H479/'Parametros Generales'!$C$8</f>
        <v>8</v>
      </c>
      <c r="N479" s="1097"/>
      <c r="O479" s="1097"/>
      <c r="P479" s="1097"/>
      <c r="Q479" s="1097"/>
      <c r="R479" s="1097">
        <f>+(M479/'Parametros Generales'!$C$9)</f>
        <v>2</v>
      </c>
      <c r="S479" s="390"/>
      <c r="T479" s="390"/>
      <c r="U479" s="390"/>
      <c r="V479" s="389"/>
      <c r="W479" s="32">
        <f>+R479*'Componentes T.H.'!$Q$9*'Parametros Generales'!$C$6</f>
        <v>10037014.142000001</v>
      </c>
      <c r="X479" s="32">
        <f>(+VLOOKUP(C479,'Transporte y Viaticos'!$B$87:$L$120,2,0)*'Parametros Generales'!$C$7*R479)*(2/3)</f>
        <v>1556876.9096810224</v>
      </c>
      <c r="Y479" s="417"/>
      <c r="Z479" s="417"/>
      <c r="AA479" s="417"/>
      <c r="AB479" s="417">
        <f>+M479*'Parametros Generales'!$C$6*'Parametros Generales'!$J$9</f>
        <v>3895272.7272727285</v>
      </c>
      <c r="AC479" s="417">
        <f>+H479*'Parametros Generales'!$J$10*'Parametros Generales'!$C$6*'Parametros Generales'!$C$11</f>
        <v>14738498.767401624</v>
      </c>
      <c r="AD479" s="417"/>
      <c r="AE479" s="417"/>
      <c r="AF479" s="417"/>
      <c r="AG479" s="417"/>
      <c r="AH479" s="417"/>
      <c r="AI479" s="417"/>
      <c r="AJ479" s="417"/>
      <c r="AK479" s="436"/>
      <c r="AL479" s="822"/>
    </row>
    <row r="480" spans="1:38" s="33" customFormat="1" hidden="1" outlineLevel="1">
      <c r="A480" s="1150"/>
      <c r="B480" s="821">
        <v>23</v>
      </c>
      <c r="C480" s="371" t="s">
        <v>1889</v>
      </c>
      <c r="D480" s="31">
        <f>+VLOOKUP(E480,Codigos!$A$1:$B$1123,2,0)</f>
        <v>23555</v>
      </c>
      <c r="E480" s="1111" t="s">
        <v>1905</v>
      </c>
      <c r="F480" s="1103">
        <v>1</v>
      </c>
      <c r="G480" s="30">
        <v>198</v>
      </c>
      <c r="H480" s="1061">
        <f>CEILING(G480,'Parametros Generales'!$C$8)</f>
        <v>200</v>
      </c>
      <c r="I480" s="1057" t="s">
        <v>333</v>
      </c>
      <c r="J480" s="1058">
        <v>200</v>
      </c>
      <c r="K480" s="1070" t="str">
        <f t="shared" si="32"/>
        <v>Ok</v>
      </c>
      <c r="L480" s="1077">
        <f t="shared" si="33"/>
        <v>0</v>
      </c>
      <c r="M480" s="1090">
        <f>+H480/'Parametros Generales'!$C$8</f>
        <v>8</v>
      </c>
      <c r="N480" s="1097"/>
      <c r="O480" s="1097"/>
      <c r="P480" s="1097"/>
      <c r="Q480" s="1097"/>
      <c r="R480" s="1097">
        <f>+(M480/'Parametros Generales'!$C$9)</f>
        <v>2</v>
      </c>
      <c r="S480" s="390"/>
      <c r="T480" s="390"/>
      <c r="U480" s="390"/>
      <c r="V480" s="389"/>
      <c r="W480" s="32">
        <f>+R480*'Componentes T.H.'!$Q$9*'Parametros Generales'!$C$6</f>
        <v>10037014.142000001</v>
      </c>
      <c r="X480" s="32">
        <f>(+VLOOKUP(C480,'Transporte y Viaticos'!$B$87:$L$120,2,0)*'Parametros Generales'!$C$7*R480)*(2/3)</f>
        <v>1556876.9096810224</v>
      </c>
      <c r="Y480" s="417"/>
      <c r="Z480" s="417"/>
      <c r="AA480" s="417"/>
      <c r="AB480" s="417">
        <f>+M480*'Parametros Generales'!$C$6*'Parametros Generales'!$J$9</f>
        <v>3895272.7272727285</v>
      </c>
      <c r="AC480" s="417">
        <f>+H480*'Parametros Generales'!$J$10*'Parametros Generales'!$C$6*'Parametros Generales'!$C$11</f>
        <v>14738498.767401624</v>
      </c>
      <c r="AD480" s="417"/>
      <c r="AE480" s="417"/>
      <c r="AF480" s="417"/>
      <c r="AG480" s="417"/>
      <c r="AH480" s="417"/>
      <c r="AI480" s="417"/>
      <c r="AJ480" s="417"/>
      <c r="AK480" s="436"/>
      <c r="AL480" s="822"/>
    </row>
    <row r="481" spans="1:38" s="33" customFormat="1" hidden="1" outlineLevel="1">
      <c r="A481" s="1150"/>
      <c r="B481" s="821">
        <v>23</v>
      </c>
      <c r="C481" s="371" t="s">
        <v>1889</v>
      </c>
      <c r="D481" s="31">
        <f>+VLOOKUP(E481,Codigos!$A$1:$B$1123,2,0)</f>
        <v>23570</v>
      </c>
      <c r="E481" s="1111" t="s">
        <v>1906</v>
      </c>
      <c r="F481" s="1103">
        <v>1</v>
      </c>
      <c r="G481" s="30">
        <v>198</v>
      </c>
      <c r="H481" s="1061">
        <f>CEILING(G481,'Parametros Generales'!$C$8)</f>
        <v>200</v>
      </c>
      <c r="I481" s="1057" t="s">
        <v>334</v>
      </c>
      <c r="J481" s="1058">
        <v>200</v>
      </c>
      <c r="K481" s="1070" t="str">
        <f t="shared" si="32"/>
        <v>Ok</v>
      </c>
      <c r="L481" s="1077">
        <f t="shared" si="33"/>
        <v>0</v>
      </c>
      <c r="M481" s="1090">
        <f>+H481/'Parametros Generales'!$C$8</f>
        <v>8</v>
      </c>
      <c r="N481" s="1097"/>
      <c r="O481" s="1097"/>
      <c r="P481" s="1097"/>
      <c r="Q481" s="1097"/>
      <c r="R481" s="1097">
        <f>+(M481/'Parametros Generales'!$C$9)</f>
        <v>2</v>
      </c>
      <c r="S481" s="390"/>
      <c r="T481" s="390"/>
      <c r="U481" s="390"/>
      <c r="V481" s="389"/>
      <c r="W481" s="32">
        <f>+R481*'Componentes T.H.'!$Q$9*'Parametros Generales'!$C$6</f>
        <v>10037014.142000001</v>
      </c>
      <c r="X481" s="32">
        <f>(+VLOOKUP(C481,'Transporte y Viaticos'!$B$87:$L$120,2,0)*'Parametros Generales'!$C$7*R481)*(2/3)</f>
        <v>1556876.9096810224</v>
      </c>
      <c r="Y481" s="417"/>
      <c r="Z481" s="417"/>
      <c r="AA481" s="417"/>
      <c r="AB481" s="417">
        <f>+M481*'Parametros Generales'!$C$6*'Parametros Generales'!$J$9</f>
        <v>3895272.7272727285</v>
      </c>
      <c r="AC481" s="417">
        <f>+H481*'Parametros Generales'!$J$10*'Parametros Generales'!$C$6*'Parametros Generales'!$C$11</f>
        <v>14738498.767401624</v>
      </c>
      <c r="AD481" s="417"/>
      <c r="AE481" s="417"/>
      <c r="AF481" s="417"/>
      <c r="AG481" s="417"/>
      <c r="AH481" s="417"/>
      <c r="AI481" s="417"/>
      <c r="AJ481" s="417"/>
      <c r="AK481" s="436"/>
      <c r="AL481" s="822"/>
    </row>
    <row r="482" spans="1:38" s="33" customFormat="1" hidden="1" outlineLevel="1">
      <c r="A482" s="1150"/>
      <c r="B482" s="821">
        <v>23</v>
      </c>
      <c r="C482" s="371" t="s">
        <v>1889</v>
      </c>
      <c r="D482" s="31">
        <f>+VLOOKUP(E482,Codigos!$A$1:$B$1123,2,0)</f>
        <v>23574</v>
      </c>
      <c r="E482" s="1111" t="s">
        <v>1907</v>
      </c>
      <c r="F482" s="1103">
        <v>1</v>
      </c>
      <c r="G482" s="30">
        <v>198</v>
      </c>
      <c r="H482" s="1061">
        <f>CEILING(G482,'Parametros Generales'!$C$8)</f>
        <v>200</v>
      </c>
      <c r="I482" s="1057" t="s">
        <v>335</v>
      </c>
      <c r="J482" s="1058">
        <v>200</v>
      </c>
      <c r="K482" s="1070" t="str">
        <f t="shared" si="32"/>
        <v>Ok</v>
      </c>
      <c r="L482" s="1077">
        <f t="shared" si="33"/>
        <v>0</v>
      </c>
      <c r="M482" s="1090">
        <f>+H482/'Parametros Generales'!$C$8</f>
        <v>8</v>
      </c>
      <c r="N482" s="1097"/>
      <c r="O482" s="1097"/>
      <c r="P482" s="1097"/>
      <c r="Q482" s="1097"/>
      <c r="R482" s="1097">
        <f>+(M482/'Parametros Generales'!$C$9)</f>
        <v>2</v>
      </c>
      <c r="S482" s="390"/>
      <c r="T482" s="390"/>
      <c r="U482" s="390"/>
      <c r="V482" s="389"/>
      <c r="W482" s="32">
        <f>+R482*'Componentes T.H.'!$Q$9*'Parametros Generales'!$C$6</f>
        <v>10037014.142000001</v>
      </c>
      <c r="X482" s="32">
        <f>(+VLOOKUP(C482,'Transporte y Viaticos'!$B$87:$L$120,2,0)*'Parametros Generales'!$C$7*R482)*(2/3)</f>
        <v>1556876.9096810224</v>
      </c>
      <c r="Y482" s="417"/>
      <c r="Z482" s="417"/>
      <c r="AA482" s="417"/>
      <c r="AB482" s="417">
        <f>+M482*'Parametros Generales'!$C$6*'Parametros Generales'!$J$9</f>
        <v>3895272.7272727285</v>
      </c>
      <c r="AC482" s="417">
        <f>+H482*'Parametros Generales'!$J$10*'Parametros Generales'!$C$6*'Parametros Generales'!$C$11</f>
        <v>14738498.767401624</v>
      </c>
      <c r="AD482" s="417"/>
      <c r="AE482" s="417"/>
      <c r="AF482" s="417"/>
      <c r="AG482" s="417"/>
      <c r="AH482" s="417"/>
      <c r="AI482" s="417"/>
      <c r="AJ482" s="417"/>
      <c r="AK482" s="436"/>
      <c r="AL482" s="822"/>
    </row>
    <row r="483" spans="1:38" s="33" customFormat="1" hidden="1" outlineLevel="1">
      <c r="A483" s="1150"/>
      <c r="B483" s="821">
        <v>23</v>
      </c>
      <c r="C483" s="371" t="s">
        <v>1889</v>
      </c>
      <c r="D483" s="31">
        <f>+VLOOKUP(E483,Codigos!$A$1:$B$1123,2,0)</f>
        <v>23580</v>
      </c>
      <c r="E483" s="1111" t="s">
        <v>1908</v>
      </c>
      <c r="F483" s="1103">
        <v>1</v>
      </c>
      <c r="G483" s="30">
        <v>198</v>
      </c>
      <c r="H483" s="1061">
        <f>CEILING(G483,'Parametros Generales'!$C$8)</f>
        <v>200</v>
      </c>
      <c r="I483" s="1057" t="s">
        <v>336</v>
      </c>
      <c r="J483" s="1058">
        <v>200</v>
      </c>
      <c r="K483" s="1070" t="str">
        <f t="shared" si="32"/>
        <v>Ok</v>
      </c>
      <c r="L483" s="1077">
        <f t="shared" si="33"/>
        <v>0</v>
      </c>
      <c r="M483" s="1090">
        <f>+H483/'Parametros Generales'!$C$8</f>
        <v>8</v>
      </c>
      <c r="N483" s="1097"/>
      <c r="O483" s="1097"/>
      <c r="P483" s="1097"/>
      <c r="Q483" s="1097"/>
      <c r="R483" s="1097">
        <f>+(M483/'Parametros Generales'!$C$9)</f>
        <v>2</v>
      </c>
      <c r="S483" s="390"/>
      <c r="T483" s="390"/>
      <c r="U483" s="390"/>
      <c r="V483" s="389"/>
      <c r="W483" s="32">
        <f>+R483*'Componentes T.H.'!$Q$9*'Parametros Generales'!$C$6</f>
        <v>10037014.142000001</v>
      </c>
      <c r="X483" s="32">
        <f>(+VLOOKUP(C483,'Transporte y Viaticos'!$B$87:$L$120,2,0)*'Parametros Generales'!$C$7*R483)*(2/3)</f>
        <v>1556876.9096810224</v>
      </c>
      <c r="Y483" s="417"/>
      <c r="Z483" s="417"/>
      <c r="AA483" s="417"/>
      <c r="AB483" s="417">
        <f>+M483*'Parametros Generales'!$C$6*'Parametros Generales'!$J$9</f>
        <v>3895272.7272727285</v>
      </c>
      <c r="AC483" s="417">
        <f>+H483*'Parametros Generales'!$J$10*'Parametros Generales'!$C$6*'Parametros Generales'!$C$11</f>
        <v>14738498.767401624</v>
      </c>
      <c r="AD483" s="417"/>
      <c r="AE483" s="417"/>
      <c r="AF483" s="417"/>
      <c r="AG483" s="417"/>
      <c r="AH483" s="417"/>
      <c r="AI483" s="417"/>
      <c r="AJ483" s="417"/>
      <c r="AK483" s="436"/>
      <c r="AL483" s="822"/>
    </row>
    <row r="484" spans="1:38" s="33" customFormat="1" hidden="1" outlineLevel="1">
      <c r="A484" s="1150"/>
      <c r="B484" s="821">
        <v>23</v>
      </c>
      <c r="C484" s="371" t="s">
        <v>1889</v>
      </c>
      <c r="D484" s="31">
        <f>+VLOOKUP(E484,Codigos!$A$1:$B$1123,2,0)</f>
        <v>23586</v>
      </c>
      <c r="E484" s="1111" t="s">
        <v>1909</v>
      </c>
      <c r="F484" s="1103">
        <v>1</v>
      </c>
      <c r="G484" s="30">
        <v>198</v>
      </c>
      <c r="H484" s="1061">
        <f>CEILING(G484,'Parametros Generales'!$C$8)</f>
        <v>200</v>
      </c>
      <c r="I484" s="1057" t="s">
        <v>337</v>
      </c>
      <c r="J484" s="1058">
        <v>200</v>
      </c>
      <c r="K484" s="1070" t="str">
        <f t="shared" si="32"/>
        <v>Ok</v>
      </c>
      <c r="L484" s="1077">
        <f t="shared" si="33"/>
        <v>0</v>
      </c>
      <c r="M484" s="1090">
        <f>+H484/'Parametros Generales'!$C$8</f>
        <v>8</v>
      </c>
      <c r="N484" s="1097"/>
      <c r="O484" s="1097"/>
      <c r="P484" s="1097"/>
      <c r="Q484" s="1097"/>
      <c r="R484" s="1097">
        <f>+(M484/'Parametros Generales'!$C$9)</f>
        <v>2</v>
      </c>
      <c r="S484" s="390"/>
      <c r="T484" s="390"/>
      <c r="U484" s="390"/>
      <c r="V484" s="389"/>
      <c r="W484" s="32">
        <f>+R484*'Componentes T.H.'!$Q$9*'Parametros Generales'!$C$6</f>
        <v>10037014.142000001</v>
      </c>
      <c r="X484" s="32">
        <f>(+VLOOKUP(C484,'Transporte y Viaticos'!$B$87:$L$120,2,0)*'Parametros Generales'!$C$7*R484)*(2/3)</f>
        <v>1556876.9096810224</v>
      </c>
      <c r="Y484" s="417"/>
      <c r="Z484" s="417"/>
      <c r="AA484" s="417"/>
      <c r="AB484" s="417">
        <f>+M484*'Parametros Generales'!$C$6*'Parametros Generales'!$J$9</f>
        <v>3895272.7272727285</v>
      </c>
      <c r="AC484" s="417">
        <f>+H484*'Parametros Generales'!$J$10*'Parametros Generales'!$C$6*'Parametros Generales'!$C$11</f>
        <v>14738498.767401624</v>
      </c>
      <c r="AD484" s="417"/>
      <c r="AE484" s="417"/>
      <c r="AF484" s="417"/>
      <c r="AG484" s="417"/>
      <c r="AH484" s="417"/>
      <c r="AI484" s="417"/>
      <c r="AJ484" s="417"/>
      <c r="AK484" s="436"/>
      <c r="AL484" s="822"/>
    </row>
    <row r="485" spans="1:38" s="33" customFormat="1" hidden="1" outlineLevel="1">
      <c r="A485" s="1150"/>
      <c r="B485" s="821">
        <v>23</v>
      </c>
      <c r="C485" s="371" t="s">
        <v>1889</v>
      </c>
      <c r="D485" s="31">
        <f>+VLOOKUP(E485,Codigos!$A$1:$B$1123,2,0)</f>
        <v>23660</v>
      </c>
      <c r="E485" s="1111" t="s">
        <v>1910</v>
      </c>
      <c r="F485" s="1103">
        <v>1</v>
      </c>
      <c r="G485" s="30">
        <v>198</v>
      </c>
      <c r="H485" s="1061">
        <f>CEILING(G485,'Parametros Generales'!$C$8)</f>
        <v>200</v>
      </c>
      <c r="I485" s="1057" t="s">
        <v>338</v>
      </c>
      <c r="J485" s="1058">
        <v>200</v>
      </c>
      <c r="K485" s="1070" t="str">
        <f t="shared" si="32"/>
        <v>Ok</v>
      </c>
      <c r="L485" s="1077">
        <f t="shared" si="33"/>
        <v>0</v>
      </c>
      <c r="M485" s="1090">
        <f>+H485/'Parametros Generales'!$C$8</f>
        <v>8</v>
      </c>
      <c r="N485" s="1097"/>
      <c r="O485" s="1097"/>
      <c r="P485" s="1097"/>
      <c r="Q485" s="1097"/>
      <c r="R485" s="1097">
        <f>+(M485/'Parametros Generales'!$C$9)</f>
        <v>2</v>
      </c>
      <c r="S485" s="390"/>
      <c r="T485" s="390"/>
      <c r="U485" s="390"/>
      <c r="V485" s="389"/>
      <c r="W485" s="32">
        <f>+R485*'Componentes T.H.'!$Q$9*'Parametros Generales'!$C$6</f>
        <v>10037014.142000001</v>
      </c>
      <c r="X485" s="32">
        <f>(+VLOOKUP(C485,'Transporte y Viaticos'!$B$87:$L$120,2,0)*'Parametros Generales'!$C$7*R485)*(2/3)</f>
        <v>1556876.9096810224</v>
      </c>
      <c r="Y485" s="417"/>
      <c r="Z485" s="417"/>
      <c r="AA485" s="417"/>
      <c r="AB485" s="417">
        <f>+M485*'Parametros Generales'!$C$6*'Parametros Generales'!$J$9</f>
        <v>3895272.7272727285</v>
      </c>
      <c r="AC485" s="417">
        <f>+H485*'Parametros Generales'!$J$10*'Parametros Generales'!$C$6*'Parametros Generales'!$C$11</f>
        <v>14738498.767401624</v>
      </c>
      <c r="AD485" s="417"/>
      <c r="AE485" s="417"/>
      <c r="AF485" s="417"/>
      <c r="AG485" s="417"/>
      <c r="AH485" s="417"/>
      <c r="AI485" s="417"/>
      <c r="AJ485" s="417"/>
      <c r="AK485" s="436"/>
      <c r="AL485" s="822"/>
    </row>
    <row r="486" spans="1:38" s="33" customFormat="1" hidden="1" outlineLevel="1">
      <c r="A486" s="1150"/>
      <c r="B486" s="821">
        <v>23</v>
      </c>
      <c r="C486" s="371" t="s">
        <v>1889</v>
      </c>
      <c r="D486" s="31">
        <f>+VLOOKUP(E486,Codigos!$A$1:$B$1123,2,0)</f>
        <v>23670</v>
      </c>
      <c r="E486" s="1111" t="s">
        <v>2409</v>
      </c>
      <c r="F486" s="1103">
        <v>1</v>
      </c>
      <c r="G486" s="30">
        <v>198</v>
      </c>
      <c r="H486" s="1061">
        <f>CEILING(G486,'Parametros Generales'!$C$8)</f>
        <v>200</v>
      </c>
      <c r="I486" s="1057" t="s">
        <v>339</v>
      </c>
      <c r="J486" s="1058">
        <v>200</v>
      </c>
      <c r="K486" s="1070" t="str">
        <f t="shared" si="32"/>
        <v>Ok</v>
      </c>
      <c r="L486" s="1077">
        <f t="shared" si="33"/>
        <v>0</v>
      </c>
      <c r="M486" s="1090">
        <f>+H486/'Parametros Generales'!$C$8</f>
        <v>8</v>
      </c>
      <c r="N486" s="1097"/>
      <c r="O486" s="1097"/>
      <c r="P486" s="1097"/>
      <c r="Q486" s="1097"/>
      <c r="R486" s="1097">
        <f>+(M486/'Parametros Generales'!$C$9)</f>
        <v>2</v>
      </c>
      <c r="S486" s="390"/>
      <c r="T486" s="390"/>
      <c r="U486" s="390"/>
      <c r="V486" s="389"/>
      <c r="W486" s="32">
        <f>+R486*'Componentes T.H.'!$Q$9*'Parametros Generales'!$C$6</f>
        <v>10037014.142000001</v>
      </c>
      <c r="X486" s="32">
        <f>(+VLOOKUP(C486,'Transporte y Viaticos'!$B$87:$L$120,2,0)*'Parametros Generales'!$C$7*R486)*(2/3)</f>
        <v>1556876.9096810224</v>
      </c>
      <c r="Y486" s="417"/>
      <c r="Z486" s="417"/>
      <c r="AA486" s="417"/>
      <c r="AB486" s="417">
        <f>+M486*'Parametros Generales'!$C$6*'Parametros Generales'!$J$9</f>
        <v>3895272.7272727285</v>
      </c>
      <c r="AC486" s="417">
        <f>+H486*'Parametros Generales'!$J$10*'Parametros Generales'!$C$6*'Parametros Generales'!$C$11</f>
        <v>14738498.767401624</v>
      </c>
      <c r="AD486" s="417"/>
      <c r="AE486" s="417"/>
      <c r="AF486" s="417"/>
      <c r="AG486" s="417"/>
      <c r="AH486" s="417"/>
      <c r="AI486" s="417"/>
      <c r="AJ486" s="417"/>
      <c r="AK486" s="436"/>
      <c r="AL486" s="822"/>
    </row>
    <row r="487" spans="1:38" s="33" customFormat="1" hidden="1" outlineLevel="1">
      <c r="A487" s="1150"/>
      <c r="B487" s="821">
        <v>23</v>
      </c>
      <c r="C487" s="371" t="s">
        <v>1889</v>
      </c>
      <c r="D487" s="31">
        <f>+VLOOKUP(E487,Codigos!$A$1:$B$1123,2,0)</f>
        <v>23672</v>
      </c>
      <c r="E487" s="1111" t="s">
        <v>1911</v>
      </c>
      <c r="F487" s="1103">
        <v>1</v>
      </c>
      <c r="G487" s="30">
        <v>198</v>
      </c>
      <c r="H487" s="1061">
        <f>CEILING(G487,'Parametros Generales'!$C$8)</f>
        <v>200</v>
      </c>
      <c r="I487" s="1057" t="s">
        <v>340</v>
      </c>
      <c r="J487" s="1058">
        <v>200</v>
      </c>
      <c r="K487" s="1070" t="str">
        <f t="shared" si="32"/>
        <v>Ok</v>
      </c>
      <c r="L487" s="1077">
        <f t="shared" si="33"/>
        <v>0</v>
      </c>
      <c r="M487" s="1090">
        <f>+H487/'Parametros Generales'!$C$8</f>
        <v>8</v>
      </c>
      <c r="N487" s="1097"/>
      <c r="O487" s="1097"/>
      <c r="P487" s="1097"/>
      <c r="Q487" s="1097"/>
      <c r="R487" s="1097">
        <f>+(M487/'Parametros Generales'!$C$9)</f>
        <v>2</v>
      </c>
      <c r="S487" s="390"/>
      <c r="T487" s="390"/>
      <c r="U487" s="390"/>
      <c r="V487" s="389"/>
      <c r="W487" s="32">
        <f>+R487*'Componentes T.H.'!$Q$9*'Parametros Generales'!$C$6</f>
        <v>10037014.142000001</v>
      </c>
      <c r="X487" s="32">
        <f>(+VLOOKUP(C487,'Transporte y Viaticos'!$B$87:$L$120,2,0)*'Parametros Generales'!$C$7*R487)*(2/3)</f>
        <v>1556876.9096810224</v>
      </c>
      <c r="Y487" s="417"/>
      <c r="Z487" s="417"/>
      <c r="AA487" s="417"/>
      <c r="AB487" s="417">
        <f>+M487*'Parametros Generales'!$C$6*'Parametros Generales'!$J$9</f>
        <v>3895272.7272727285</v>
      </c>
      <c r="AC487" s="417">
        <f>+H487*'Parametros Generales'!$J$10*'Parametros Generales'!$C$6*'Parametros Generales'!$C$11</f>
        <v>14738498.767401624</v>
      </c>
      <c r="AD487" s="417"/>
      <c r="AE487" s="417"/>
      <c r="AF487" s="417"/>
      <c r="AG487" s="417"/>
      <c r="AH487" s="417"/>
      <c r="AI487" s="417"/>
      <c r="AJ487" s="417"/>
      <c r="AK487" s="436"/>
      <c r="AL487" s="822"/>
    </row>
    <row r="488" spans="1:38" s="33" customFormat="1" hidden="1" outlineLevel="1">
      <c r="A488" s="1150"/>
      <c r="B488" s="821">
        <v>23</v>
      </c>
      <c r="C488" s="371" t="s">
        <v>1889</v>
      </c>
      <c r="D488" s="31">
        <f>+VLOOKUP(E488,Codigos!$A$1:$B$1123,2,0)</f>
        <v>23675</v>
      </c>
      <c r="E488" s="1111" t="s">
        <v>1912</v>
      </c>
      <c r="F488" s="1103">
        <v>1</v>
      </c>
      <c r="G488" s="30">
        <v>198</v>
      </c>
      <c r="H488" s="1061">
        <f>CEILING(G488,'Parametros Generales'!$C$8)</f>
        <v>200</v>
      </c>
      <c r="I488" s="1057" t="s">
        <v>341</v>
      </c>
      <c r="J488" s="1058">
        <v>200</v>
      </c>
      <c r="K488" s="1070" t="str">
        <f t="shared" si="32"/>
        <v>Ok</v>
      </c>
      <c r="L488" s="1077">
        <f t="shared" si="33"/>
        <v>0</v>
      </c>
      <c r="M488" s="1090">
        <f>+H488/'Parametros Generales'!$C$8</f>
        <v>8</v>
      </c>
      <c r="N488" s="1097"/>
      <c r="O488" s="1097"/>
      <c r="P488" s="1097"/>
      <c r="Q488" s="1097"/>
      <c r="R488" s="1097">
        <f>+(M488/'Parametros Generales'!$C$9)</f>
        <v>2</v>
      </c>
      <c r="S488" s="390"/>
      <c r="T488" s="390"/>
      <c r="U488" s="390"/>
      <c r="V488" s="389"/>
      <c r="W488" s="32">
        <f>+R488*'Componentes T.H.'!$Q$9*'Parametros Generales'!$C$6</f>
        <v>10037014.142000001</v>
      </c>
      <c r="X488" s="32">
        <f>(+VLOOKUP(C488,'Transporte y Viaticos'!$B$87:$L$120,2,0)*'Parametros Generales'!$C$7*R488)*(2/3)</f>
        <v>1556876.9096810224</v>
      </c>
      <c r="Y488" s="417"/>
      <c r="Z488" s="417"/>
      <c r="AA488" s="417"/>
      <c r="AB488" s="417">
        <f>+M488*'Parametros Generales'!$C$6*'Parametros Generales'!$J$9</f>
        <v>3895272.7272727285</v>
      </c>
      <c r="AC488" s="417">
        <f>+H488*'Parametros Generales'!$J$10*'Parametros Generales'!$C$6*'Parametros Generales'!$C$11</f>
        <v>14738498.767401624</v>
      </c>
      <c r="AD488" s="417"/>
      <c r="AE488" s="417"/>
      <c r="AF488" s="417"/>
      <c r="AG488" s="417"/>
      <c r="AH488" s="417"/>
      <c r="AI488" s="417"/>
      <c r="AJ488" s="417"/>
      <c r="AK488" s="436"/>
      <c r="AL488" s="822"/>
    </row>
    <row r="489" spans="1:38" s="33" customFormat="1" hidden="1" outlineLevel="1">
      <c r="A489" s="1150"/>
      <c r="B489" s="821">
        <v>23</v>
      </c>
      <c r="C489" s="371" t="s">
        <v>1889</v>
      </c>
      <c r="D489" s="31">
        <f>+VLOOKUP(E489,Codigos!$A$1:$B$1123,2,0)</f>
        <v>23678</v>
      </c>
      <c r="E489" s="1111" t="s">
        <v>1913</v>
      </c>
      <c r="F489" s="1103">
        <v>1</v>
      </c>
      <c r="G489" s="30">
        <v>198</v>
      </c>
      <c r="H489" s="1061">
        <f>CEILING(G489,'Parametros Generales'!$C$8)</f>
        <v>200</v>
      </c>
      <c r="I489" s="1057" t="s">
        <v>342</v>
      </c>
      <c r="J489" s="1058">
        <v>200</v>
      </c>
      <c r="K489" s="1070" t="str">
        <f t="shared" si="32"/>
        <v>Ok</v>
      </c>
      <c r="L489" s="1077">
        <f t="shared" si="33"/>
        <v>0</v>
      </c>
      <c r="M489" s="1090">
        <f>+H489/'Parametros Generales'!$C$8</f>
        <v>8</v>
      </c>
      <c r="N489" s="1097"/>
      <c r="O489" s="1097"/>
      <c r="P489" s="1097"/>
      <c r="Q489" s="1097"/>
      <c r="R489" s="1097">
        <f>+(M489/'Parametros Generales'!$C$9)</f>
        <v>2</v>
      </c>
      <c r="S489" s="390"/>
      <c r="T489" s="390"/>
      <c r="U489" s="390"/>
      <c r="V489" s="389"/>
      <c r="W489" s="32">
        <f>+R489*'Componentes T.H.'!$Q$9*'Parametros Generales'!$C$6</f>
        <v>10037014.142000001</v>
      </c>
      <c r="X489" s="32">
        <f>(+VLOOKUP(C489,'Transporte y Viaticos'!$B$87:$L$120,2,0)*'Parametros Generales'!$C$7*R489)*(2/3)</f>
        <v>1556876.9096810224</v>
      </c>
      <c r="Y489" s="417"/>
      <c r="Z489" s="417"/>
      <c r="AA489" s="417"/>
      <c r="AB489" s="417">
        <f>+M489*'Parametros Generales'!$C$6*'Parametros Generales'!$J$9</f>
        <v>3895272.7272727285</v>
      </c>
      <c r="AC489" s="417">
        <f>+H489*'Parametros Generales'!$J$10*'Parametros Generales'!$C$6*'Parametros Generales'!$C$11</f>
        <v>14738498.767401624</v>
      </c>
      <c r="AD489" s="417"/>
      <c r="AE489" s="417"/>
      <c r="AF489" s="417"/>
      <c r="AG489" s="417"/>
      <c r="AH489" s="417"/>
      <c r="AI489" s="417"/>
      <c r="AJ489" s="417"/>
      <c r="AK489" s="436"/>
      <c r="AL489" s="822"/>
    </row>
    <row r="490" spans="1:38" s="33" customFormat="1" hidden="1" outlineLevel="1">
      <c r="A490" s="1150"/>
      <c r="B490" s="821">
        <v>23</v>
      </c>
      <c r="C490" s="371" t="s">
        <v>1889</v>
      </c>
      <c r="D490" s="31">
        <f>+VLOOKUP(E490,Codigos!$A$1:$B$1123,2,0)</f>
        <v>23682</v>
      </c>
      <c r="E490" s="1111" t="s">
        <v>1914</v>
      </c>
      <c r="F490" s="1103">
        <v>1</v>
      </c>
      <c r="G490" s="30">
        <v>198</v>
      </c>
      <c r="H490" s="1061">
        <f>CEILING(G490,'Parametros Generales'!$C$8)</f>
        <v>200</v>
      </c>
      <c r="I490" s="1057" t="s">
        <v>343</v>
      </c>
      <c r="J490" s="1058">
        <v>200</v>
      </c>
      <c r="K490" s="1070" t="str">
        <f t="shared" si="32"/>
        <v>Ok</v>
      </c>
      <c r="L490" s="1077">
        <f t="shared" si="33"/>
        <v>0</v>
      </c>
      <c r="M490" s="1090">
        <f>+H490/'Parametros Generales'!$C$8</f>
        <v>8</v>
      </c>
      <c r="N490" s="1097"/>
      <c r="O490" s="1097"/>
      <c r="P490" s="1097"/>
      <c r="Q490" s="1097"/>
      <c r="R490" s="1097">
        <f>+(M490/'Parametros Generales'!$C$9)</f>
        <v>2</v>
      </c>
      <c r="S490" s="390"/>
      <c r="T490" s="390"/>
      <c r="U490" s="390"/>
      <c r="V490" s="389"/>
      <c r="W490" s="32">
        <f>+R490*'Componentes T.H.'!$Q$9*'Parametros Generales'!$C$6</f>
        <v>10037014.142000001</v>
      </c>
      <c r="X490" s="32">
        <f>(+VLOOKUP(C490,'Transporte y Viaticos'!$B$87:$L$120,2,0)*'Parametros Generales'!$C$7*R490)*(2/3)</f>
        <v>1556876.9096810224</v>
      </c>
      <c r="Y490" s="417"/>
      <c r="Z490" s="417"/>
      <c r="AA490" s="417"/>
      <c r="AB490" s="417">
        <f>+M490*'Parametros Generales'!$C$6*'Parametros Generales'!$J$9</f>
        <v>3895272.7272727285</v>
      </c>
      <c r="AC490" s="417">
        <f>+H490*'Parametros Generales'!$J$10*'Parametros Generales'!$C$6*'Parametros Generales'!$C$11</f>
        <v>14738498.767401624</v>
      </c>
      <c r="AD490" s="417"/>
      <c r="AE490" s="417"/>
      <c r="AF490" s="417"/>
      <c r="AG490" s="417"/>
      <c r="AH490" s="417"/>
      <c r="AI490" s="417"/>
      <c r="AJ490" s="417"/>
      <c r="AK490" s="436"/>
      <c r="AL490" s="822"/>
    </row>
    <row r="491" spans="1:38" s="33" customFormat="1" hidden="1" outlineLevel="1">
      <c r="A491" s="1150"/>
      <c r="B491" s="821">
        <v>23</v>
      </c>
      <c r="C491" s="371" t="s">
        <v>1889</v>
      </c>
      <c r="D491" s="31">
        <f>+VLOOKUP(E491,Codigos!$A$1:$B$1123,2,0)</f>
        <v>23686</v>
      </c>
      <c r="E491" s="1111" t="s">
        <v>1915</v>
      </c>
      <c r="F491" s="1103">
        <v>1</v>
      </c>
      <c r="G491" s="30">
        <v>198</v>
      </c>
      <c r="H491" s="1061">
        <f>CEILING(G491,'Parametros Generales'!$C$8)</f>
        <v>200</v>
      </c>
      <c r="I491" s="1057" t="s">
        <v>344</v>
      </c>
      <c r="J491" s="1058">
        <v>200</v>
      </c>
      <c r="K491" s="1070" t="str">
        <f t="shared" si="32"/>
        <v>Ok</v>
      </c>
      <c r="L491" s="1077">
        <f t="shared" si="33"/>
        <v>0</v>
      </c>
      <c r="M491" s="1090">
        <f>+H491/'Parametros Generales'!$C$8</f>
        <v>8</v>
      </c>
      <c r="N491" s="1097"/>
      <c r="O491" s="1097"/>
      <c r="P491" s="1097"/>
      <c r="Q491" s="1097"/>
      <c r="R491" s="1097">
        <f>+(M491/'Parametros Generales'!$C$9)</f>
        <v>2</v>
      </c>
      <c r="S491" s="390"/>
      <c r="T491" s="390"/>
      <c r="U491" s="390"/>
      <c r="V491" s="389"/>
      <c r="W491" s="32">
        <f>+R491*'Componentes T.H.'!$Q$9*'Parametros Generales'!$C$6</f>
        <v>10037014.142000001</v>
      </c>
      <c r="X491" s="32">
        <f>(+VLOOKUP(C491,'Transporte y Viaticos'!$B$87:$L$120,2,0)*'Parametros Generales'!$C$7*R491)*(2/3)</f>
        <v>1556876.9096810224</v>
      </c>
      <c r="Y491" s="417"/>
      <c r="Z491" s="417"/>
      <c r="AA491" s="417"/>
      <c r="AB491" s="417">
        <f>+M491*'Parametros Generales'!$C$6*'Parametros Generales'!$J$9</f>
        <v>3895272.7272727285</v>
      </c>
      <c r="AC491" s="417">
        <f>+H491*'Parametros Generales'!$J$10*'Parametros Generales'!$C$6*'Parametros Generales'!$C$11</f>
        <v>14738498.767401624</v>
      </c>
      <c r="AD491" s="417"/>
      <c r="AE491" s="417"/>
      <c r="AF491" s="417"/>
      <c r="AG491" s="417"/>
      <c r="AH491" s="417"/>
      <c r="AI491" s="417"/>
      <c r="AJ491" s="417"/>
      <c r="AK491" s="436"/>
      <c r="AL491" s="822"/>
    </row>
    <row r="492" spans="1:38" s="33" customFormat="1" hidden="1" outlineLevel="1">
      <c r="A492" s="1150"/>
      <c r="B492" s="821">
        <v>23</v>
      </c>
      <c r="C492" s="371" t="s">
        <v>1889</v>
      </c>
      <c r="D492" s="31">
        <f>+VLOOKUP(E492,Codigos!$A$1:$B$1123,2,0)</f>
        <v>23807</v>
      </c>
      <c r="E492" s="1111" t="s">
        <v>1916</v>
      </c>
      <c r="F492" s="1103">
        <v>1</v>
      </c>
      <c r="G492" s="30">
        <v>396</v>
      </c>
      <c r="H492" s="1061">
        <f>CEILING(G492,'Parametros Generales'!$C$8)</f>
        <v>400</v>
      </c>
      <c r="I492" s="1057" t="s">
        <v>345</v>
      </c>
      <c r="J492" s="1058">
        <v>400</v>
      </c>
      <c r="K492" s="1070" t="str">
        <f t="shared" si="32"/>
        <v>Ok</v>
      </c>
      <c r="L492" s="1077">
        <f t="shared" si="33"/>
        <v>0</v>
      </c>
      <c r="M492" s="1090">
        <f>+H492/'Parametros Generales'!$C$8</f>
        <v>16</v>
      </c>
      <c r="N492" s="1097"/>
      <c r="O492" s="1097"/>
      <c r="P492" s="1097"/>
      <c r="Q492" s="1097"/>
      <c r="R492" s="1097">
        <f>+(M492/'Parametros Generales'!$C$9)</f>
        <v>4</v>
      </c>
      <c r="S492" s="390"/>
      <c r="T492" s="390"/>
      <c r="U492" s="390"/>
      <c r="V492" s="389"/>
      <c r="W492" s="32">
        <f>+R492*'Componentes T.H.'!$Q$9*'Parametros Generales'!$C$6</f>
        <v>20074028.284000002</v>
      </c>
      <c r="X492" s="32">
        <f>(+VLOOKUP(C492,'Transporte y Viaticos'!$B$87:$L$120,2,0)*'Parametros Generales'!$C$7*R492)*(2/3)</f>
        <v>3113753.8193620448</v>
      </c>
      <c r="Y492" s="417"/>
      <c r="Z492" s="417"/>
      <c r="AA492" s="417"/>
      <c r="AB492" s="417">
        <f>+M492*'Parametros Generales'!$C$6*'Parametros Generales'!$J$9</f>
        <v>7790545.4545454569</v>
      </c>
      <c r="AC492" s="417">
        <f>+H492*'Parametros Generales'!$J$10*'Parametros Generales'!$C$6*'Parametros Generales'!$C$11</f>
        <v>29476997.534803249</v>
      </c>
      <c r="AD492" s="417"/>
      <c r="AE492" s="417"/>
      <c r="AF492" s="417"/>
      <c r="AG492" s="417"/>
      <c r="AH492" s="417"/>
      <c r="AI492" s="417"/>
      <c r="AJ492" s="417"/>
      <c r="AK492" s="436"/>
      <c r="AL492" s="822"/>
    </row>
    <row r="493" spans="1:38" s="33" customFormat="1" hidden="1" outlineLevel="1">
      <c r="A493" s="1150"/>
      <c r="B493" s="821">
        <v>23</v>
      </c>
      <c r="C493" s="371" t="s">
        <v>1889</v>
      </c>
      <c r="D493" s="31">
        <f>+VLOOKUP(E493,Codigos!$A$1:$B$1123,2,0)</f>
        <v>23815</v>
      </c>
      <c r="E493" s="1111" t="s">
        <v>1917</v>
      </c>
      <c r="F493" s="1103">
        <v>1</v>
      </c>
      <c r="G493" s="30">
        <v>198</v>
      </c>
      <c r="H493" s="1061">
        <f>CEILING(G493,'Parametros Generales'!$C$8)</f>
        <v>200</v>
      </c>
      <c r="I493" s="1057" t="s">
        <v>346</v>
      </c>
      <c r="J493" s="1058">
        <v>200</v>
      </c>
      <c r="K493" s="1070" t="str">
        <f t="shared" si="32"/>
        <v>Ok</v>
      </c>
      <c r="L493" s="1077">
        <f t="shared" si="33"/>
        <v>0</v>
      </c>
      <c r="M493" s="1090">
        <f>+H493/'Parametros Generales'!$C$8</f>
        <v>8</v>
      </c>
      <c r="N493" s="1097"/>
      <c r="O493" s="1097"/>
      <c r="P493" s="1097"/>
      <c r="Q493" s="1097"/>
      <c r="R493" s="1097">
        <f>+(M493/'Parametros Generales'!$C$9)</f>
        <v>2</v>
      </c>
      <c r="S493" s="390"/>
      <c r="T493" s="390"/>
      <c r="U493" s="390"/>
      <c r="V493" s="389"/>
      <c r="W493" s="32">
        <f>+R493*'Componentes T.H.'!$Q$9*'Parametros Generales'!$C$6</f>
        <v>10037014.142000001</v>
      </c>
      <c r="X493" s="32">
        <f>(+VLOOKUP(C493,'Transporte y Viaticos'!$B$87:$L$120,2,0)*'Parametros Generales'!$C$7*R493)*(2/3)</f>
        <v>1556876.9096810224</v>
      </c>
      <c r="Y493" s="417"/>
      <c r="Z493" s="417"/>
      <c r="AA493" s="417"/>
      <c r="AB493" s="417">
        <f>+M493*'Parametros Generales'!$C$6*'Parametros Generales'!$J$9</f>
        <v>3895272.7272727285</v>
      </c>
      <c r="AC493" s="417">
        <f>+H493*'Parametros Generales'!$J$10*'Parametros Generales'!$C$6*'Parametros Generales'!$C$11</f>
        <v>14738498.767401624</v>
      </c>
      <c r="AD493" s="417"/>
      <c r="AE493" s="417"/>
      <c r="AF493" s="417"/>
      <c r="AG493" s="417"/>
      <c r="AH493" s="417"/>
      <c r="AI493" s="417"/>
      <c r="AJ493" s="417"/>
      <c r="AK493" s="436"/>
      <c r="AL493" s="822"/>
    </row>
    <row r="494" spans="1:38" s="33" customFormat="1" hidden="1" outlineLevel="1">
      <c r="A494" s="1150"/>
      <c r="B494" s="823">
        <v>23</v>
      </c>
      <c r="C494" s="373" t="s">
        <v>1889</v>
      </c>
      <c r="D494" s="374">
        <f>+VLOOKUP(E494,Codigos!$A$1:$B$1123,2,0)</f>
        <v>23855</v>
      </c>
      <c r="E494" s="1113" t="s">
        <v>1918</v>
      </c>
      <c r="F494" s="1104">
        <v>1</v>
      </c>
      <c r="G494" s="375">
        <v>198</v>
      </c>
      <c r="H494" s="1062">
        <f>CEILING(G494,'Parametros Generales'!$C$8)</f>
        <v>200</v>
      </c>
      <c r="I494" s="1057" t="s">
        <v>347</v>
      </c>
      <c r="J494" s="1058">
        <v>200</v>
      </c>
      <c r="K494" s="1070" t="str">
        <f t="shared" si="32"/>
        <v>Ok</v>
      </c>
      <c r="L494" s="1077">
        <f t="shared" si="33"/>
        <v>0</v>
      </c>
      <c r="M494" s="1091">
        <f>+H494/'Parametros Generales'!$C$8</f>
        <v>8</v>
      </c>
      <c r="N494" s="1098"/>
      <c r="O494" s="1098"/>
      <c r="P494" s="1098"/>
      <c r="Q494" s="1098"/>
      <c r="R494" s="1098">
        <f>+(M494/'Parametros Generales'!$C$9)</f>
        <v>2</v>
      </c>
      <c r="S494" s="395"/>
      <c r="T494" s="395"/>
      <c r="U494" s="395"/>
      <c r="V494" s="396"/>
      <c r="W494" s="376">
        <f>+R494*'Componentes T.H.'!$Q$9*'Parametros Generales'!$C$6</f>
        <v>10037014.142000001</v>
      </c>
      <c r="X494" s="376">
        <f>(+VLOOKUP(C494,'Transporte y Viaticos'!$B$87:$L$120,2,0)*'Parametros Generales'!$C$7*R494)*(2/3)</f>
        <v>1556876.9096810224</v>
      </c>
      <c r="Y494" s="417"/>
      <c r="Z494" s="417"/>
      <c r="AA494" s="417"/>
      <c r="AB494" s="417">
        <f>+M494*'Parametros Generales'!$C$6*'Parametros Generales'!$J$9</f>
        <v>3895272.7272727285</v>
      </c>
      <c r="AC494" s="417">
        <f>+H494*'Parametros Generales'!$J$10*'Parametros Generales'!$C$6*'Parametros Generales'!$C$11</f>
        <v>14738498.767401624</v>
      </c>
      <c r="AD494" s="417"/>
      <c r="AE494" s="417"/>
      <c r="AF494" s="417"/>
      <c r="AG494" s="417"/>
      <c r="AH494" s="417"/>
      <c r="AI494" s="417"/>
      <c r="AJ494" s="417"/>
      <c r="AK494" s="436"/>
      <c r="AL494" s="822"/>
    </row>
    <row r="495" spans="1:38" s="33" customFormat="1" hidden="1" outlineLevel="1">
      <c r="A495" s="1150"/>
      <c r="B495" s="823">
        <f t="shared" ref="B495:B503" si="36">+B494</f>
        <v>23</v>
      </c>
      <c r="C495" s="373" t="str">
        <f t="shared" ref="C495:C503" si="37">+C494</f>
        <v>CÓRDOBA</v>
      </c>
      <c r="D495" s="374"/>
      <c r="E495" s="1113"/>
      <c r="F495" s="1104"/>
      <c r="G495" s="375"/>
      <c r="H495" s="1062"/>
      <c r="I495" s="1057"/>
      <c r="J495" s="1058"/>
      <c r="K495" s="1070" t="str">
        <f t="shared" si="32"/>
        <v>Ok</v>
      </c>
      <c r="L495" s="1077">
        <f t="shared" si="33"/>
        <v>0</v>
      </c>
      <c r="M495" s="1091">
        <f>+H495/'Parametros Generales'!$C$8</f>
        <v>0</v>
      </c>
      <c r="N495" s="1098"/>
      <c r="O495" s="1098"/>
      <c r="P495" s="1098"/>
      <c r="Q495" s="1098"/>
      <c r="R495" s="1098">
        <f>+(M495/'Parametros Generales'!$C$9)</f>
        <v>0</v>
      </c>
      <c r="S495" s="395"/>
      <c r="T495" s="395"/>
      <c r="U495" s="395"/>
      <c r="V495" s="396"/>
      <c r="W495" s="376">
        <f>+R495*'Componentes T.H.'!$Q$9*'Parametros Generales'!$C$6</f>
        <v>0</v>
      </c>
      <c r="X495" s="376">
        <f>(+VLOOKUP(C495,'Transporte y Viaticos'!$B$87:$L$120,2,0)*'Parametros Generales'!$C$7*R495)*(2/3)</f>
        <v>0</v>
      </c>
      <c r="Y495" s="417"/>
      <c r="Z495" s="417"/>
      <c r="AA495" s="417"/>
      <c r="AB495" s="417">
        <f>+M495*'Parametros Generales'!$C$6*'Parametros Generales'!$J$9</f>
        <v>0</v>
      </c>
      <c r="AC495" s="417">
        <f>+H495*'Parametros Generales'!$J$10*'Parametros Generales'!$C$6*'Parametros Generales'!$C$11</f>
        <v>0</v>
      </c>
      <c r="AD495" s="417"/>
      <c r="AE495" s="417"/>
      <c r="AF495" s="417"/>
      <c r="AG495" s="417"/>
      <c r="AH495" s="417"/>
      <c r="AI495" s="417"/>
      <c r="AJ495" s="417"/>
      <c r="AK495" s="436"/>
      <c r="AL495" s="822"/>
    </row>
    <row r="496" spans="1:38" s="33" customFormat="1" hidden="1" outlineLevel="1">
      <c r="A496" s="1150"/>
      <c r="B496" s="823">
        <f t="shared" si="36"/>
        <v>23</v>
      </c>
      <c r="C496" s="373" t="str">
        <f t="shared" si="37"/>
        <v>CÓRDOBA</v>
      </c>
      <c r="D496" s="374"/>
      <c r="E496" s="1113"/>
      <c r="F496" s="1104"/>
      <c r="G496" s="375"/>
      <c r="H496" s="1062"/>
      <c r="I496" s="1057"/>
      <c r="J496" s="1058"/>
      <c r="K496" s="1070" t="str">
        <f t="shared" si="32"/>
        <v>Ok</v>
      </c>
      <c r="L496" s="1077">
        <f t="shared" si="33"/>
        <v>0</v>
      </c>
      <c r="M496" s="1091">
        <f>+H496/'Parametros Generales'!$C$8</f>
        <v>0</v>
      </c>
      <c r="N496" s="1098"/>
      <c r="O496" s="1098"/>
      <c r="P496" s="1098"/>
      <c r="Q496" s="1098"/>
      <c r="R496" s="1098">
        <f>+(M496/'Parametros Generales'!$C$9)</f>
        <v>0</v>
      </c>
      <c r="S496" s="395"/>
      <c r="T496" s="395"/>
      <c r="U496" s="395"/>
      <c r="V496" s="396"/>
      <c r="W496" s="376">
        <f>+R496*'Componentes T.H.'!$Q$9*'Parametros Generales'!$C$6</f>
        <v>0</v>
      </c>
      <c r="X496" s="376">
        <f>(+VLOOKUP(C496,'Transporte y Viaticos'!$B$87:$L$120,2,0)*'Parametros Generales'!$C$7*R496)*(2/3)</f>
        <v>0</v>
      </c>
      <c r="Y496" s="417"/>
      <c r="Z496" s="417"/>
      <c r="AA496" s="417"/>
      <c r="AB496" s="417">
        <f>+M496*'Parametros Generales'!$C$6*'Parametros Generales'!$J$9</f>
        <v>0</v>
      </c>
      <c r="AC496" s="417">
        <f>+H496*'Parametros Generales'!$J$10*'Parametros Generales'!$C$6*'Parametros Generales'!$C$11</f>
        <v>0</v>
      </c>
      <c r="AD496" s="417"/>
      <c r="AE496" s="417"/>
      <c r="AF496" s="417"/>
      <c r="AG496" s="417"/>
      <c r="AH496" s="417"/>
      <c r="AI496" s="417"/>
      <c r="AJ496" s="417"/>
      <c r="AK496" s="436"/>
      <c r="AL496" s="822"/>
    </row>
    <row r="497" spans="1:38" s="33" customFormat="1" hidden="1" outlineLevel="1">
      <c r="A497" s="1150"/>
      <c r="B497" s="823">
        <f t="shared" si="36"/>
        <v>23</v>
      </c>
      <c r="C497" s="373" t="str">
        <f t="shared" si="37"/>
        <v>CÓRDOBA</v>
      </c>
      <c r="D497" s="374"/>
      <c r="E497" s="1113"/>
      <c r="F497" s="1104"/>
      <c r="G497" s="375"/>
      <c r="H497" s="1062"/>
      <c r="I497" s="1057"/>
      <c r="J497" s="1058"/>
      <c r="K497" s="1070" t="str">
        <f t="shared" si="32"/>
        <v>Ok</v>
      </c>
      <c r="L497" s="1077">
        <f t="shared" si="33"/>
        <v>0</v>
      </c>
      <c r="M497" s="1091">
        <f>+H497/'Parametros Generales'!$C$8</f>
        <v>0</v>
      </c>
      <c r="N497" s="1098"/>
      <c r="O497" s="1098"/>
      <c r="P497" s="1098"/>
      <c r="Q497" s="1098"/>
      <c r="R497" s="1098">
        <f>+(M497/'Parametros Generales'!$C$9)</f>
        <v>0</v>
      </c>
      <c r="S497" s="395"/>
      <c r="T497" s="395"/>
      <c r="U497" s="395"/>
      <c r="V497" s="396"/>
      <c r="W497" s="376">
        <f>+R497*'Componentes T.H.'!$Q$9*'Parametros Generales'!$C$6</f>
        <v>0</v>
      </c>
      <c r="X497" s="376">
        <f>(+VLOOKUP(C497,'Transporte y Viaticos'!$B$87:$L$120,2,0)*'Parametros Generales'!$C$7*R497)*(2/3)</f>
        <v>0</v>
      </c>
      <c r="Y497" s="417"/>
      <c r="Z497" s="417"/>
      <c r="AA497" s="417"/>
      <c r="AB497" s="417">
        <f>+M497*'Parametros Generales'!$C$6*'Parametros Generales'!$J$9</f>
        <v>0</v>
      </c>
      <c r="AC497" s="417">
        <f>+H497*'Parametros Generales'!$J$10*'Parametros Generales'!$C$6*'Parametros Generales'!$C$11</f>
        <v>0</v>
      </c>
      <c r="AD497" s="417"/>
      <c r="AE497" s="417"/>
      <c r="AF497" s="417"/>
      <c r="AG497" s="417"/>
      <c r="AH497" s="417"/>
      <c r="AI497" s="417"/>
      <c r="AJ497" s="417"/>
      <c r="AK497" s="436"/>
      <c r="AL497" s="822"/>
    </row>
    <row r="498" spans="1:38" s="33" customFormat="1" hidden="1" outlineLevel="1">
      <c r="A498" s="1150"/>
      <c r="B498" s="823">
        <f t="shared" si="36"/>
        <v>23</v>
      </c>
      <c r="C498" s="373" t="str">
        <f t="shared" si="37"/>
        <v>CÓRDOBA</v>
      </c>
      <c r="D498" s="374"/>
      <c r="E498" s="1113"/>
      <c r="F498" s="1104"/>
      <c r="G498" s="375"/>
      <c r="H498" s="1062"/>
      <c r="I498" s="1057"/>
      <c r="J498" s="1058"/>
      <c r="K498" s="1070" t="str">
        <f t="shared" si="32"/>
        <v>Ok</v>
      </c>
      <c r="L498" s="1077">
        <f t="shared" si="33"/>
        <v>0</v>
      </c>
      <c r="M498" s="1091">
        <f>+H498/'Parametros Generales'!$C$8</f>
        <v>0</v>
      </c>
      <c r="N498" s="1098"/>
      <c r="O498" s="1098"/>
      <c r="P498" s="1098"/>
      <c r="Q498" s="1098"/>
      <c r="R498" s="1098">
        <f>+(M498/'Parametros Generales'!$C$9)</f>
        <v>0</v>
      </c>
      <c r="S498" s="395"/>
      <c r="T498" s="395"/>
      <c r="U498" s="395"/>
      <c r="V498" s="396"/>
      <c r="W498" s="376">
        <f>+R498*'Componentes T.H.'!$Q$9*'Parametros Generales'!$C$6</f>
        <v>0</v>
      </c>
      <c r="X498" s="376">
        <f>(+VLOOKUP(C498,'Transporte y Viaticos'!$B$87:$L$120,2,0)*'Parametros Generales'!$C$7*R498)*(2/3)</f>
        <v>0</v>
      </c>
      <c r="Y498" s="417"/>
      <c r="Z498" s="417"/>
      <c r="AA498" s="417"/>
      <c r="AB498" s="417">
        <f>+M498*'Parametros Generales'!$C$6*'Parametros Generales'!$J$9</f>
        <v>0</v>
      </c>
      <c r="AC498" s="417">
        <f>+H498*'Parametros Generales'!$J$10*'Parametros Generales'!$C$6*'Parametros Generales'!$C$11</f>
        <v>0</v>
      </c>
      <c r="AD498" s="417"/>
      <c r="AE498" s="417"/>
      <c r="AF498" s="417"/>
      <c r="AG498" s="417"/>
      <c r="AH498" s="417"/>
      <c r="AI498" s="417"/>
      <c r="AJ498" s="417"/>
      <c r="AK498" s="436"/>
      <c r="AL498" s="822"/>
    </row>
    <row r="499" spans="1:38" s="33" customFormat="1" hidden="1" outlineLevel="1">
      <c r="A499" s="1150"/>
      <c r="B499" s="823">
        <f t="shared" si="36"/>
        <v>23</v>
      </c>
      <c r="C499" s="373" t="str">
        <f t="shared" si="37"/>
        <v>CÓRDOBA</v>
      </c>
      <c r="D499" s="374"/>
      <c r="E499" s="1113"/>
      <c r="F499" s="1104"/>
      <c r="G499" s="375"/>
      <c r="H499" s="1062"/>
      <c r="I499" s="1057"/>
      <c r="J499" s="1058"/>
      <c r="K499" s="1070" t="str">
        <f t="shared" si="32"/>
        <v>Ok</v>
      </c>
      <c r="L499" s="1077">
        <f t="shared" si="33"/>
        <v>0</v>
      </c>
      <c r="M499" s="1091">
        <f>+H499/'Parametros Generales'!$C$8</f>
        <v>0</v>
      </c>
      <c r="N499" s="1098"/>
      <c r="O499" s="1098"/>
      <c r="P499" s="1098"/>
      <c r="Q499" s="1098"/>
      <c r="R499" s="1098">
        <f>+(M499/'Parametros Generales'!$C$9)</f>
        <v>0</v>
      </c>
      <c r="S499" s="395"/>
      <c r="T499" s="395"/>
      <c r="U499" s="395"/>
      <c r="V499" s="396"/>
      <c r="W499" s="376">
        <f>+R499*'Componentes T.H.'!$Q$9*'Parametros Generales'!$C$6</f>
        <v>0</v>
      </c>
      <c r="X499" s="376">
        <f>(+VLOOKUP(C499,'Transporte y Viaticos'!$B$87:$L$120,2,0)*'Parametros Generales'!$C$7*R499)*(2/3)</f>
        <v>0</v>
      </c>
      <c r="Y499" s="417"/>
      <c r="Z499" s="417"/>
      <c r="AA499" s="417"/>
      <c r="AB499" s="417">
        <f>+M499*'Parametros Generales'!$C$6*'Parametros Generales'!$J$9</f>
        <v>0</v>
      </c>
      <c r="AC499" s="417">
        <f>+H499*'Parametros Generales'!$J$10*'Parametros Generales'!$C$6*'Parametros Generales'!$C$11</f>
        <v>0</v>
      </c>
      <c r="AD499" s="417"/>
      <c r="AE499" s="417"/>
      <c r="AF499" s="417"/>
      <c r="AG499" s="417"/>
      <c r="AH499" s="417"/>
      <c r="AI499" s="417"/>
      <c r="AJ499" s="417"/>
      <c r="AK499" s="436"/>
      <c r="AL499" s="822"/>
    </row>
    <row r="500" spans="1:38" s="33" customFormat="1" hidden="1" outlineLevel="1">
      <c r="A500" s="1150"/>
      <c r="B500" s="823">
        <f t="shared" si="36"/>
        <v>23</v>
      </c>
      <c r="C500" s="373" t="str">
        <f t="shared" si="37"/>
        <v>CÓRDOBA</v>
      </c>
      <c r="D500" s="374"/>
      <c r="E500" s="1113"/>
      <c r="F500" s="1104"/>
      <c r="G500" s="375"/>
      <c r="H500" s="1062"/>
      <c r="I500" s="1057"/>
      <c r="J500" s="1058"/>
      <c r="K500" s="1070" t="str">
        <f t="shared" si="32"/>
        <v>Ok</v>
      </c>
      <c r="L500" s="1077">
        <f t="shared" si="33"/>
        <v>0</v>
      </c>
      <c r="M500" s="1091">
        <f>+H500/'Parametros Generales'!$C$8</f>
        <v>0</v>
      </c>
      <c r="N500" s="1098"/>
      <c r="O500" s="1098"/>
      <c r="P500" s="1098"/>
      <c r="Q500" s="1098"/>
      <c r="R500" s="1098">
        <f>+(M500/'Parametros Generales'!$C$9)</f>
        <v>0</v>
      </c>
      <c r="S500" s="395"/>
      <c r="T500" s="395"/>
      <c r="U500" s="395"/>
      <c r="V500" s="396"/>
      <c r="W500" s="376">
        <f>+R500*'Componentes T.H.'!$Q$9*'Parametros Generales'!$C$6</f>
        <v>0</v>
      </c>
      <c r="X500" s="376">
        <f>(+VLOOKUP(C500,'Transporte y Viaticos'!$B$87:$L$120,2,0)*'Parametros Generales'!$C$7*R500)*(2/3)</f>
        <v>0</v>
      </c>
      <c r="Y500" s="417"/>
      <c r="Z500" s="417"/>
      <c r="AA500" s="417"/>
      <c r="AB500" s="417">
        <f>+M500*'Parametros Generales'!$C$6*'Parametros Generales'!$J$9</f>
        <v>0</v>
      </c>
      <c r="AC500" s="417">
        <f>+H500*'Parametros Generales'!$J$10*'Parametros Generales'!$C$6*'Parametros Generales'!$C$11</f>
        <v>0</v>
      </c>
      <c r="AD500" s="417"/>
      <c r="AE500" s="417"/>
      <c r="AF500" s="417"/>
      <c r="AG500" s="417"/>
      <c r="AH500" s="417"/>
      <c r="AI500" s="417"/>
      <c r="AJ500" s="417"/>
      <c r="AK500" s="436"/>
      <c r="AL500" s="822"/>
    </row>
    <row r="501" spans="1:38" s="33" customFormat="1" hidden="1" outlineLevel="1">
      <c r="A501" s="1150"/>
      <c r="B501" s="823">
        <f t="shared" si="36"/>
        <v>23</v>
      </c>
      <c r="C501" s="373" t="str">
        <f t="shared" si="37"/>
        <v>CÓRDOBA</v>
      </c>
      <c r="D501" s="374"/>
      <c r="E501" s="1113"/>
      <c r="F501" s="1104"/>
      <c r="G501" s="375"/>
      <c r="H501" s="1062"/>
      <c r="I501" s="1057"/>
      <c r="J501" s="1058"/>
      <c r="K501" s="1070" t="str">
        <f t="shared" si="32"/>
        <v>Ok</v>
      </c>
      <c r="L501" s="1077">
        <f t="shared" si="33"/>
        <v>0</v>
      </c>
      <c r="M501" s="1091">
        <f>+H501/'Parametros Generales'!$C$8</f>
        <v>0</v>
      </c>
      <c r="N501" s="1098"/>
      <c r="O501" s="1098"/>
      <c r="P501" s="1098"/>
      <c r="Q501" s="1098"/>
      <c r="R501" s="1098">
        <f>+(M501/'Parametros Generales'!$C$9)</f>
        <v>0</v>
      </c>
      <c r="S501" s="395"/>
      <c r="T501" s="395"/>
      <c r="U501" s="395"/>
      <c r="V501" s="396"/>
      <c r="W501" s="376">
        <f>+R501*'Componentes T.H.'!$Q$9*'Parametros Generales'!$C$6</f>
        <v>0</v>
      </c>
      <c r="X501" s="376">
        <f>(+VLOOKUP(C501,'Transporte y Viaticos'!$B$87:$L$120,2,0)*'Parametros Generales'!$C$7*R501)*(2/3)</f>
        <v>0</v>
      </c>
      <c r="Y501" s="417"/>
      <c r="Z501" s="417"/>
      <c r="AA501" s="417"/>
      <c r="AB501" s="417">
        <f>+M501*'Parametros Generales'!$C$6*'Parametros Generales'!$J$9</f>
        <v>0</v>
      </c>
      <c r="AC501" s="417">
        <f>+H501*'Parametros Generales'!$J$10*'Parametros Generales'!$C$6*'Parametros Generales'!$C$11</f>
        <v>0</v>
      </c>
      <c r="AD501" s="417"/>
      <c r="AE501" s="417"/>
      <c r="AF501" s="417"/>
      <c r="AG501" s="417"/>
      <c r="AH501" s="417"/>
      <c r="AI501" s="417"/>
      <c r="AJ501" s="417"/>
      <c r="AK501" s="436"/>
      <c r="AL501" s="822"/>
    </row>
    <row r="502" spans="1:38" s="33" customFormat="1" hidden="1" outlineLevel="1">
      <c r="A502" s="1150"/>
      <c r="B502" s="823">
        <f t="shared" si="36"/>
        <v>23</v>
      </c>
      <c r="C502" s="373" t="str">
        <f t="shared" si="37"/>
        <v>CÓRDOBA</v>
      </c>
      <c r="D502" s="374"/>
      <c r="E502" s="1113"/>
      <c r="F502" s="1104"/>
      <c r="G502" s="375"/>
      <c r="H502" s="1062"/>
      <c r="I502" s="1057"/>
      <c r="J502" s="1058"/>
      <c r="K502" s="1070" t="str">
        <f t="shared" si="32"/>
        <v>Ok</v>
      </c>
      <c r="L502" s="1077">
        <f t="shared" si="33"/>
        <v>0</v>
      </c>
      <c r="M502" s="1091">
        <f>+H502/'Parametros Generales'!$C$8</f>
        <v>0</v>
      </c>
      <c r="N502" s="1098"/>
      <c r="O502" s="1098"/>
      <c r="P502" s="1098"/>
      <c r="Q502" s="1098"/>
      <c r="R502" s="1098">
        <f>+(M502/'Parametros Generales'!$C$9)</f>
        <v>0</v>
      </c>
      <c r="S502" s="395"/>
      <c r="T502" s="395"/>
      <c r="U502" s="395"/>
      <c r="V502" s="396"/>
      <c r="W502" s="376">
        <f>+R502*'Componentes T.H.'!$Q$9*'Parametros Generales'!$C$6</f>
        <v>0</v>
      </c>
      <c r="X502" s="376">
        <f>(+VLOOKUP(C502,'Transporte y Viaticos'!$B$87:$L$120,2,0)*'Parametros Generales'!$C$7*R502)*(2/3)</f>
        <v>0</v>
      </c>
      <c r="Y502" s="417"/>
      <c r="Z502" s="417"/>
      <c r="AA502" s="417"/>
      <c r="AB502" s="417">
        <f>+M502*'Parametros Generales'!$C$6*'Parametros Generales'!$J$9</f>
        <v>0</v>
      </c>
      <c r="AC502" s="417">
        <f>+H502*'Parametros Generales'!$J$10*'Parametros Generales'!$C$6*'Parametros Generales'!$C$11</f>
        <v>0</v>
      </c>
      <c r="AD502" s="417"/>
      <c r="AE502" s="417"/>
      <c r="AF502" s="417"/>
      <c r="AG502" s="417"/>
      <c r="AH502" s="417"/>
      <c r="AI502" s="417"/>
      <c r="AJ502" s="417"/>
      <c r="AK502" s="436"/>
      <c r="AL502" s="822"/>
    </row>
    <row r="503" spans="1:38" s="33" customFormat="1" hidden="1" outlineLevel="1">
      <c r="A503" s="1150"/>
      <c r="B503" s="823">
        <f t="shared" si="36"/>
        <v>23</v>
      </c>
      <c r="C503" s="373" t="str">
        <f t="shared" si="37"/>
        <v>CÓRDOBA</v>
      </c>
      <c r="D503" s="374"/>
      <c r="E503" s="1113"/>
      <c r="F503" s="1104"/>
      <c r="G503" s="375"/>
      <c r="H503" s="1062"/>
      <c r="I503" s="1057"/>
      <c r="J503" s="1058"/>
      <c r="K503" s="1070" t="str">
        <f t="shared" si="32"/>
        <v>Ok</v>
      </c>
      <c r="L503" s="1077">
        <f t="shared" si="33"/>
        <v>0</v>
      </c>
      <c r="M503" s="1091">
        <f>+H503/'Parametros Generales'!$C$8</f>
        <v>0</v>
      </c>
      <c r="N503" s="1098"/>
      <c r="O503" s="1098"/>
      <c r="P503" s="1098"/>
      <c r="Q503" s="1098"/>
      <c r="R503" s="1098">
        <f>+(M503/'Parametros Generales'!$C$9)</f>
        <v>0</v>
      </c>
      <c r="S503" s="395"/>
      <c r="T503" s="395"/>
      <c r="U503" s="395"/>
      <c r="V503" s="396"/>
      <c r="W503" s="376">
        <f>+R503*'Componentes T.H.'!$Q$9*'Parametros Generales'!$C$6</f>
        <v>0</v>
      </c>
      <c r="X503" s="376">
        <f>(+VLOOKUP(C503,'Transporte y Viaticos'!$B$87:$L$120,2,0)*'Parametros Generales'!$C$7*R503)*(2/3)</f>
        <v>0</v>
      </c>
      <c r="Y503" s="417"/>
      <c r="Z503" s="417"/>
      <c r="AA503" s="417"/>
      <c r="AB503" s="417">
        <f>+M503*'Parametros Generales'!$C$6*'Parametros Generales'!$J$9</f>
        <v>0</v>
      </c>
      <c r="AC503" s="417">
        <f>+H503*'Parametros Generales'!$J$10*'Parametros Generales'!$C$6*'Parametros Generales'!$C$11</f>
        <v>0</v>
      </c>
      <c r="AD503" s="417"/>
      <c r="AE503" s="417"/>
      <c r="AF503" s="417"/>
      <c r="AG503" s="417"/>
      <c r="AH503" s="417"/>
      <c r="AI503" s="417"/>
      <c r="AJ503" s="417"/>
      <c r="AK503" s="436"/>
      <c r="AL503" s="822"/>
    </row>
    <row r="504" spans="1:38" s="392" customFormat="1" collapsed="1">
      <c r="A504" s="1151">
        <v>11</v>
      </c>
      <c r="B504" s="824">
        <v>25</v>
      </c>
      <c r="C504" s="385" t="s">
        <v>348</v>
      </c>
      <c r="D504" s="386"/>
      <c r="E504" s="1114" t="s">
        <v>348</v>
      </c>
      <c r="F504" s="1105">
        <f>SUM(F505:F581)</f>
        <v>64</v>
      </c>
      <c r="G504" s="388">
        <f>+SUM(G505:G568)</f>
        <v>8912</v>
      </c>
      <c r="H504" s="512">
        <f>+SUM(H505:H581)</f>
        <v>8500</v>
      </c>
      <c r="I504" s="1057" t="s">
        <v>348</v>
      </c>
      <c r="J504" s="1067">
        <v>8500</v>
      </c>
      <c r="K504" s="1069" t="str">
        <f t="shared" si="32"/>
        <v>Ok</v>
      </c>
      <c r="L504" s="1077">
        <f t="shared" si="33"/>
        <v>0</v>
      </c>
      <c r="M504" s="512">
        <f>+SUM(M505:M581)</f>
        <v>340</v>
      </c>
      <c r="N504" s="1073">
        <f>+VLOOKUP(H504,'Parametros Generales'!$B$14:$D$17,3,TRUE)</f>
        <v>0.8</v>
      </c>
      <c r="O504" s="1073">
        <f>+VLOOKUP(H504,'Parametros Generales'!$B$14:$D$17,3,TRUE)</f>
        <v>0.8</v>
      </c>
      <c r="P504" s="1073">
        <f>+VLOOKUP(H504,'Parametros Generales'!$B$14:$D$17,3,TRUE)</f>
        <v>0.8</v>
      </c>
      <c r="Q504" s="1073">
        <f>+R504/'Parametros Generales'!$C$10</f>
        <v>10.625</v>
      </c>
      <c r="R504" s="512">
        <f>+SUM(R505:R581)</f>
        <v>85</v>
      </c>
      <c r="S504" s="390">
        <f>+VLOOKUP(S$1,'Componentes T.H.'!$B$4:$R$22,'Componentes T.H.'!$Q$1,0)*'Parametros Generales'!$C$6*'Cost x Depart'!N504</f>
        <v>11725411.310133336</v>
      </c>
      <c r="T504" s="390">
        <f>+VLOOKUP(T$1,'Componentes T.H.'!$B$4:$R$22,'Componentes T.H.'!$Q$1,0)*'Parametros Generales'!$C$6*'Cost x Depart'!O504</f>
        <v>8835052.5272000004</v>
      </c>
      <c r="U504" s="390">
        <f>+VLOOKUP(U$1,'Componentes T.H.'!$B$4:$R$22,'Componentes T.H.'!$Q$1,0)*'Parametros Generales'!$C$6*'Cost x Depart'!P504</f>
        <v>3912345.6000000001</v>
      </c>
      <c r="V504" s="389">
        <f>+VLOOKUP(V$1,'Componentes T.H.'!$B$4:$R$22,'Componentes T.H.'!$Q$1,0)*'Parametros Generales'!$C$6*'Cost x Depart'!Q504</f>
        <v>106154880.05229166</v>
      </c>
      <c r="W504" s="512">
        <f>+SUM(W505:W581)</f>
        <v>426573101.03499997</v>
      </c>
      <c r="X504" s="512">
        <f>+SUM(X505:X581)</f>
        <v>67697072.126197726</v>
      </c>
      <c r="Y504" s="391">
        <f>+VLOOKUP(C505,'Transporte y Viaticos'!$B$87:$F$120,2,0)*((O504/'Parametros Generales'!$J$14)+(Q504/'Parametros Generales'!$J$15)+(R504/'Parametros Generales'!$J$16))*'Parametros Generales'!$C$6</f>
        <v>3221086.4244751865</v>
      </c>
      <c r="Z504" s="391">
        <f>+(N504+O504+Q504)*'Parametros Generales'!$C$6*'Parametros Generales'!$J$7</f>
        <v>2403679.5</v>
      </c>
      <c r="AA504" s="391">
        <f>+SUM(N504:R504)*'Parametros Generales'!$C$6*'Parametros Generales'!$J$8</f>
        <v>17595487.5</v>
      </c>
      <c r="AB504" s="512">
        <f>+SUM(AB505:AB581)</f>
        <v>165549090.90909097</v>
      </c>
      <c r="AC504" s="512">
        <f>+SUM(AC505:AC581)</f>
        <v>626386197.61456919</v>
      </c>
      <c r="AD504" s="391">
        <f>+'Parametros Generales'!$J$11*SUM(N504:R504)</f>
        <v>3297561</v>
      </c>
      <c r="AE504" s="436">
        <f>+SUM(S504:AD504)</f>
        <v>1443350965.598958</v>
      </c>
      <c r="AF504" s="391">
        <f>+AE504*(SUM('Res de Costos Pais'!G117:G117))</f>
        <v>98869541.143528625</v>
      </c>
      <c r="AG504" s="391">
        <f>+AE504+AF504</f>
        <v>1542220506.7424867</v>
      </c>
      <c r="AH504" s="391">
        <f>+AG504*SUM('Res de Costos Pais'!$G$123:$G$124)</f>
        <v>14897850.095132422</v>
      </c>
      <c r="AI504" s="391">
        <f>+(AG504+AH504)*'Res de Costos Pais'!$G$136</f>
        <v>4204219.5634615719</v>
      </c>
      <c r="AJ504" s="391">
        <f>+(AG504+AH504+AI504)*'Res de Costos Pais'!$G$140</f>
        <v>6245290.3056043228</v>
      </c>
      <c r="AK504" s="391">
        <f>+AG504+AH504+AI504+AJ504</f>
        <v>1567567866.7066848</v>
      </c>
      <c r="AL504" s="820">
        <f>IF(ISERROR((+(AK504/H504)/'Parametros Generales'!$C$6)),0,(+(AK504/H504)/'Parametros Generales'!$C$6))</f>
        <v>36883.949804863172</v>
      </c>
    </row>
    <row r="505" spans="1:38" s="33" customFormat="1" hidden="1" outlineLevel="1">
      <c r="A505" s="1150"/>
      <c r="B505" s="819">
        <v>25</v>
      </c>
      <c r="C505" s="377" t="s">
        <v>348</v>
      </c>
      <c r="D505" s="31">
        <f>+VLOOKUP(E505,Codigos!$A$1:$B$1123,2,0)</f>
        <v>25001</v>
      </c>
      <c r="E505" s="1110" t="s">
        <v>1919</v>
      </c>
      <c r="F505" s="1102">
        <v>1</v>
      </c>
      <c r="G505" s="379">
        <v>198</v>
      </c>
      <c r="H505" s="1060">
        <f>CEILING(G505,'Parametros Generales'!$C$8)</f>
        <v>200</v>
      </c>
      <c r="I505" s="1057" t="s">
        <v>349</v>
      </c>
      <c r="J505" s="1058">
        <v>200</v>
      </c>
      <c r="K505" s="1070" t="str">
        <f t="shared" si="32"/>
        <v>Ok</v>
      </c>
      <c r="L505" s="1077">
        <f t="shared" si="33"/>
        <v>0</v>
      </c>
      <c r="M505" s="1089">
        <f>+H505/'Parametros Generales'!$C$8</f>
        <v>8</v>
      </c>
      <c r="N505" s="1096"/>
      <c r="O505" s="1096"/>
      <c r="P505" s="1096"/>
      <c r="Q505" s="1096"/>
      <c r="R505" s="1096">
        <f>+(M505/'Parametros Generales'!$C$9)</f>
        <v>2</v>
      </c>
      <c r="S505" s="393"/>
      <c r="T505" s="393"/>
      <c r="U505" s="393"/>
      <c r="V505" s="394"/>
      <c r="W505" s="380">
        <f>+R505*'Componentes T.H.'!$Q$9*'Parametros Generales'!$C$6</f>
        <v>10037014.142000001</v>
      </c>
      <c r="X505" s="380">
        <f>(+VLOOKUP(C505,'Transporte y Viaticos'!$B$87:$L$120,2,0)*'Parametros Generales'!$C$7*R505)*(2/3)</f>
        <v>1592872.2853222988</v>
      </c>
      <c r="Y505" s="417"/>
      <c r="Z505" s="417"/>
      <c r="AA505" s="417"/>
      <c r="AB505" s="417">
        <f>+M505*'Parametros Generales'!$C$6*'Parametros Generales'!$J$9</f>
        <v>3895272.7272727285</v>
      </c>
      <c r="AC505" s="417">
        <f>+H505*'Parametros Generales'!$J$10*'Parametros Generales'!$C$6*'Parametros Generales'!$C$11</f>
        <v>14738498.767401624</v>
      </c>
      <c r="AD505" s="417"/>
      <c r="AE505" s="417"/>
      <c r="AF505" s="417"/>
      <c r="AG505" s="417"/>
      <c r="AH505" s="417"/>
      <c r="AI505" s="417"/>
      <c r="AJ505" s="417"/>
      <c r="AK505" s="436"/>
      <c r="AL505" s="822"/>
    </row>
    <row r="506" spans="1:38" s="33" customFormat="1" hidden="1" outlineLevel="1">
      <c r="A506" s="1150"/>
      <c r="B506" s="819">
        <v>25</v>
      </c>
      <c r="C506" s="377" t="s">
        <v>348</v>
      </c>
      <c r="D506" s="31">
        <f>+VLOOKUP(E506,Codigos!$A$1:$B$1123,2,0)</f>
        <v>25035</v>
      </c>
      <c r="E506" s="1116" t="s">
        <v>930</v>
      </c>
      <c r="F506" s="1102">
        <v>1</v>
      </c>
      <c r="G506" s="379">
        <v>0</v>
      </c>
      <c r="H506" s="1060">
        <v>50</v>
      </c>
      <c r="I506" s="1057" t="s">
        <v>930</v>
      </c>
      <c r="J506" s="1058">
        <v>50</v>
      </c>
      <c r="K506" s="1070" t="str">
        <f t="shared" si="32"/>
        <v>Ok</v>
      </c>
      <c r="L506" s="1077">
        <f t="shared" si="33"/>
        <v>0</v>
      </c>
      <c r="M506" s="1089">
        <f>+H506/'Parametros Generales'!$C$8</f>
        <v>2</v>
      </c>
      <c r="N506" s="1096"/>
      <c r="O506" s="1096"/>
      <c r="P506" s="1096"/>
      <c r="Q506" s="1096"/>
      <c r="R506" s="1096">
        <f>+(M506/'Parametros Generales'!$C$9)</f>
        <v>0.5</v>
      </c>
      <c r="S506" s="393"/>
      <c r="T506" s="393"/>
      <c r="U506" s="393"/>
      <c r="V506" s="394"/>
      <c r="W506" s="380">
        <f>+R506*'Componentes T.H.'!$Q$9*'Parametros Generales'!$C$6</f>
        <v>2509253.5355000002</v>
      </c>
      <c r="X506" s="380">
        <f>(+VLOOKUP(C506,'Transporte y Viaticos'!$B$87:$L$120,2,0)*'Parametros Generales'!$C$7*R506)*(2/3)</f>
        <v>398218.07133057469</v>
      </c>
      <c r="Y506" s="417"/>
      <c r="Z506" s="417"/>
      <c r="AA506" s="417"/>
      <c r="AB506" s="417">
        <f>+M506*'Parametros Generales'!$C$6*'Parametros Generales'!$J$9</f>
        <v>973818.18181818211</v>
      </c>
      <c r="AC506" s="417">
        <f>+H506*'Parametros Generales'!$J$10*'Parametros Generales'!$C$6*'Parametros Generales'!$C$11</f>
        <v>3684624.6918504061</v>
      </c>
      <c r="AD506" s="417"/>
      <c r="AE506" s="417"/>
      <c r="AF506" s="417"/>
      <c r="AG506" s="417"/>
      <c r="AH506" s="417"/>
      <c r="AI506" s="417"/>
      <c r="AJ506" s="417"/>
      <c r="AK506" s="436"/>
      <c r="AL506" s="822"/>
    </row>
    <row r="507" spans="1:38" s="33" customFormat="1" hidden="1" outlineLevel="1">
      <c r="A507" s="1150"/>
      <c r="B507" s="819">
        <v>25</v>
      </c>
      <c r="C507" s="377" t="s">
        <v>348</v>
      </c>
      <c r="D507" s="31">
        <f>+VLOOKUP(E507,Codigos!$A$1:$B$1123,2,0)</f>
        <v>25040</v>
      </c>
      <c r="E507" s="1116" t="s">
        <v>931</v>
      </c>
      <c r="F507" s="1102">
        <v>1</v>
      </c>
      <c r="G507" s="379">
        <v>0</v>
      </c>
      <c r="H507" s="1060">
        <v>50</v>
      </c>
      <c r="I507" s="1057" t="s">
        <v>931</v>
      </c>
      <c r="J507" s="1058">
        <v>50</v>
      </c>
      <c r="K507" s="1070" t="str">
        <f t="shared" si="32"/>
        <v>Ok</v>
      </c>
      <c r="L507" s="1077">
        <f t="shared" si="33"/>
        <v>0</v>
      </c>
      <c r="M507" s="1089">
        <f>+H507/'Parametros Generales'!$C$8</f>
        <v>2</v>
      </c>
      <c r="N507" s="1096"/>
      <c r="O507" s="1096"/>
      <c r="P507" s="1096"/>
      <c r="Q507" s="1096"/>
      <c r="R507" s="1096">
        <f>+(M507/'Parametros Generales'!$C$9)</f>
        <v>0.5</v>
      </c>
      <c r="S507" s="393"/>
      <c r="T507" s="393"/>
      <c r="U507" s="393"/>
      <c r="V507" s="394"/>
      <c r="W507" s="380">
        <f>+R507*'Componentes T.H.'!$Q$9*'Parametros Generales'!$C$6</f>
        <v>2509253.5355000002</v>
      </c>
      <c r="X507" s="380">
        <f>(+VLOOKUP(C507,'Transporte y Viaticos'!$B$87:$L$120,2,0)*'Parametros Generales'!$C$7*R507)*(2/3)</f>
        <v>398218.07133057469</v>
      </c>
      <c r="Y507" s="417"/>
      <c r="Z507" s="417"/>
      <c r="AA507" s="417"/>
      <c r="AB507" s="417">
        <f>+M507*'Parametros Generales'!$C$6*'Parametros Generales'!$J$9</f>
        <v>973818.18181818211</v>
      </c>
      <c r="AC507" s="417">
        <f>+H507*'Parametros Generales'!$J$10*'Parametros Generales'!$C$6*'Parametros Generales'!$C$11</f>
        <v>3684624.6918504061</v>
      </c>
      <c r="AD507" s="417"/>
      <c r="AE507" s="417"/>
      <c r="AF507" s="417"/>
      <c r="AG507" s="417"/>
      <c r="AH507" s="417"/>
      <c r="AI507" s="417"/>
      <c r="AJ507" s="417"/>
      <c r="AK507" s="436"/>
      <c r="AL507" s="822"/>
    </row>
    <row r="508" spans="1:38" s="33" customFormat="1" hidden="1" outlineLevel="1">
      <c r="A508" s="1150"/>
      <c r="B508" s="821">
        <v>25</v>
      </c>
      <c r="C508" s="371" t="s">
        <v>348</v>
      </c>
      <c r="D508" s="31">
        <f>+VLOOKUP(E508,Codigos!$A$1:$B$1123,2,0)</f>
        <v>25599</v>
      </c>
      <c r="E508" s="1111" t="s">
        <v>1920</v>
      </c>
      <c r="F508" s="1103">
        <v>1</v>
      </c>
      <c r="G508" s="30">
        <v>198</v>
      </c>
      <c r="H508" s="1061">
        <f>CEILING((G508-100),'Parametros Generales'!$C$8)</f>
        <v>100</v>
      </c>
      <c r="I508" s="1057" t="s">
        <v>350</v>
      </c>
      <c r="J508" s="1058">
        <v>100</v>
      </c>
      <c r="K508" s="1070" t="str">
        <f t="shared" si="32"/>
        <v>Ok</v>
      </c>
      <c r="L508" s="1077">
        <f t="shared" si="33"/>
        <v>0</v>
      </c>
      <c r="M508" s="1090">
        <f>+H508/'Parametros Generales'!$C$8</f>
        <v>4</v>
      </c>
      <c r="N508" s="1097"/>
      <c r="O508" s="1097"/>
      <c r="P508" s="1097"/>
      <c r="Q508" s="1097"/>
      <c r="R508" s="1097">
        <f>+(M508/'Parametros Generales'!$C$9)</f>
        <v>1</v>
      </c>
      <c r="S508" s="390"/>
      <c r="T508" s="390"/>
      <c r="U508" s="390"/>
      <c r="V508" s="389"/>
      <c r="W508" s="32">
        <f>+R508*'Componentes T.H.'!$Q$9*'Parametros Generales'!$C$6</f>
        <v>5018507.0710000005</v>
      </c>
      <c r="X508" s="32">
        <f>(+VLOOKUP(C508,'Transporte y Viaticos'!$B$87:$L$120,2,0)*'Parametros Generales'!$C$7*R508)*(2/3)</f>
        <v>796436.14266114938</v>
      </c>
      <c r="Y508" s="417"/>
      <c r="Z508" s="417"/>
      <c r="AA508" s="417"/>
      <c r="AB508" s="417">
        <f>+M508*'Parametros Generales'!$C$6*'Parametros Generales'!$J$9</f>
        <v>1947636.3636363642</v>
      </c>
      <c r="AC508" s="417">
        <f>+H508*'Parametros Generales'!$J$10*'Parametros Generales'!$C$6*'Parametros Generales'!$C$11</f>
        <v>7369249.3837008122</v>
      </c>
      <c r="AD508" s="417"/>
      <c r="AE508" s="417"/>
      <c r="AF508" s="417"/>
      <c r="AG508" s="417"/>
      <c r="AH508" s="417"/>
      <c r="AI508" s="417"/>
      <c r="AJ508" s="417"/>
      <c r="AK508" s="436"/>
      <c r="AL508" s="822"/>
    </row>
    <row r="509" spans="1:38" s="33" customFormat="1" hidden="1" outlineLevel="1">
      <c r="A509" s="1150"/>
      <c r="B509" s="821">
        <v>25</v>
      </c>
      <c r="C509" s="371" t="s">
        <v>348</v>
      </c>
      <c r="D509" s="31">
        <f>+VLOOKUP(E509,Codigos!$A$1:$B$1123,2,0)</f>
        <v>25120</v>
      </c>
      <c r="E509" s="1111" t="s">
        <v>1921</v>
      </c>
      <c r="F509" s="1103">
        <v>1</v>
      </c>
      <c r="G509" s="30">
        <v>198</v>
      </c>
      <c r="H509" s="1061">
        <f>CEILING((G509-50),'Parametros Generales'!$C$8)</f>
        <v>150</v>
      </c>
      <c r="I509" s="1057" t="s">
        <v>351</v>
      </c>
      <c r="J509" s="1058">
        <v>150</v>
      </c>
      <c r="K509" s="1070" t="str">
        <f t="shared" si="32"/>
        <v>Ok</v>
      </c>
      <c r="L509" s="1077">
        <f t="shared" si="33"/>
        <v>0</v>
      </c>
      <c r="M509" s="1090">
        <f>+H509/'Parametros Generales'!$C$8</f>
        <v>6</v>
      </c>
      <c r="N509" s="1097"/>
      <c r="O509" s="1097"/>
      <c r="P509" s="1097"/>
      <c r="Q509" s="1097"/>
      <c r="R509" s="1097">
        <f>+(M509/'Parametros Generales'!$C$9)</f>
        <v>1.5</v>
      </c>
      <c r="S509" s="390"/>
      <c r="T509" s="390"/>
      <c r="U509" s="390"/>
      <c r="V509" s="389"/>
      <c r="W509" s="32">
        <f>+R509*'Componentes T.H.'!$Q$9*'Parametros Generales'!$C$6</f>
        <v>7527760.6064999998</v>
      </c>
      <c r="X509" s="32">
        <f>(+VLOOKUP(C509,'Transporte y Viaticos'!$B$87:$L$120,2,0)*'Parametros Generales'!$C$7*R509)*(2/3)</f>
        <v>1194654.2139917242</v>
      </c>
      <c r="Y509" s="417"/>
      <c r="Z509" s="417"/>
      <c r="AA509" s="417"/>
      <c r="AB509" s="417">
        <f>+M509*'Parametros Generales'!$C$6*'Parametros Generales'!$J$9</f>
        <v>2921454.5454545463</v>
      </c>
      <c r="AC509" s="417">
        <f>+H509*'Parametros Generales'!$J$10*'Parametros Generales'!$C$6*'Parametros Generales'!$C$11</f>
        <v>11053874.075551221</v>
      </c>
      <c r="AD509" s="417"/>
      <c r="AE509" s="417"/>
      <c r="AF509" s="417"/>
      <c r="AG509" s="417"/>
      <c r="AH509" s="417"/>
      <c r="AI509" s="417"/>
      <c r="AJ509" s="417"/>
      <c r="AK509" s="436"/>
      <c r="AL509" s="822"/>
    </row>
    <row r="510" spans="1:38" s="33" customFormat="1" hidden="1" outlineLevel="1">
      <c r="A510" s="1150"/>
      <c r="B510" s="821">
        <v>25</v>
      </c>
      <c r="C510" s="371" t="s">
        <v>348</v>
      </c>
      <c r="D510" s="31">
        <f>+VLOOKUP(E510,Codigos!$A$1:$B$1123,2,0)</f>
        <v>25123</v>
      </c>
      <c r="E510" s="1117" t="s">
        <v>936</v>
      </c>
      <c r="F510" s="1103">
        <v>1</v>
      </c>
      <c r="G510" s="30">
        <v>0</v>
      </c>
      <c r="H510" s="1061">
        <v>50</v>
      </c>
      <c r="I510" s="1057" t="s">
        <v>936</v>
      </c>
      <c r="J510" s="1058">
        <v>50</v>
      </c>
      <c r="K510" s="1070" t="str">
        <f t="shared" si="32"/>
        <v>Ok</v>
      </c>
      <c r="L510" s="1077">
        <f t="shared" si="33"/>
        <v>0</v>
      </c>
      <c r="M510" s="1090">
        <f>+H510/'Parametros Generales'!$C$8</f>
        <v>2</v>
      </c>
      <c r="N510" s="1097"/>
      <c r="O510" s="1097"/>
      <c r="P510" s="1097"/>
      <c r="Q510" s="1097"/>
      <c r="R510" s="1097">
        <f>+(M510/'Parametros Generales'!$C$9)</f>
        <v>0.5</v>
      </c>
      <c r="S510" s="390"/>
      <c r="T510" s="390"/>
      <c r="U510" s="390"/>
      <c r="V510" s="389"/>
      <c r="W510" s="32">
        <f>+R510*'Componentes T.H.'!$Q$9*'Parametros Generales'!$C$6</f>
        <v>2509253.5355000002</v>
      </c>
      <c r="X510" s="32">
        <f>(+VLOOKUP(C510,'Transporte y Viaticos'!$B$87:$L$120,2,0)*'Parametros Generales'!$C$7*R510)*(2/3)</f>
        <v>398218.07133057469</v>
      </c>
      <c r="Y510" s="417"/>
      <c r="Z510" s="417"/>
      <c r="AA510" s="417"/>
      <c r="AB510" s="417">
        <f>+M510*'Parametros Generales'!$C$6*'Parametros Generales'!$J$9</f>
        <v>973818.18181818211</v>
      </c>
      <c r="AC510" s="417">
        <f>+H510*'Parametros Generales'!$J$10*'Parametros Generales'!$C$6*'Parametros Generales'!$C$11</f>
        <v>3684624.6918504061</v>
      </c>
      <c r="AD510" s="417"/>
      <c r="AE510" s="417"/>
      <c r="AF510" s="417"/>
      <c r="AG510" s="417"/>
      <c r="AH510" s="417"/>
      <c r="AI510" s="417"/>
      <c r="AJ510" s="417"/>
      <c r="AK510" s="436"/>
      <c r="AL510" s="822"/>
    </row>
    <row r="511" spans="1:38" s="33" customFormat="1" hidden="1" outlineLevel="1">
      <c r="A511" s="1150"/>
      <c r="B511" s="821">
        <v>25</v>
      </c>
      <c r="C511" s="371" t="s">
        <v>348</v>
      </c>
      <c r="D511" s="31">
        <f>+VLOOKUP(E511,Codigos!$A$1:$B$1123,2,0)</f>
        <v>25126</v>
      </c>
      <c r="E511" s="1111" t="s">
        <v>1922</v>
      </c>
      <c r="F511" s="1103">
        <v>1</v>
      </c>
      <c r="G511" s="30">
        <v>198</v>
      </c>
      <c r="H511" s="1061">
        <f>CEILING(G511,'Parametros Generales'!$C$8)</f>
        <v>200</v>
      </c>
      <c r="I511" s="1057" t="s">
        <v>352</v>
      </c>
      <c r="J511" s="1058">
        <v>200</v>
      </c>
      <c r="K511" s="1070" t="str">
        <f t="shared" si="32"/>
        <v>Ok</v>
      </c>
      <c r="L511" s="1077">
        <f t="shared" si="33"/>
        <v>0</v>
      </c>
      <c r="M511" s="1090">
        <f>+H511/'Parametros Generales'!$C$8</f>
        <v>8</v>
      </c>
      <c r="N511" s="1097"/>
      <c r="O511" s="1097"/>
      <c r="P511" s="1097"/>
      <c r="Q511" s="1097"/>
      <c r="R511" s="1097">
        <f>+(M511/'Parametros Generales'!$C$9)</f>
        <v>2</v>
      </c>
      <c r="S511" s="390"/>
      <c r="T511" s="390"/>
      <c r="U511" s="390"/>
      <c r="V511" s="389"/>
      <c r="W511" s="32">
        <f>+R511*'Componentes T.H.'!$Q$9*'Parametros Generales'!$C$6</f>
        <v>10037014.142000001</v>
      </c>
      <c r="X511" s="32">
        <f>(+VLOOKUP(C511,'Transporte y Viaticos'!$B$87:$L$120,2,0)*'Parametros Generales'!$C$7*R511)*(2/3)</f>
        <v>1592872.2853222988</v>
      </c>
      <c r="Y511" s="417"/>
      <c r="Z511" s="417"/>
      <c r="AA511" s="417"/>
      <c r="AB511" s="417">
        <f>+M511*'Parametros Generales'!$C$6*'Parametros Generales'!$J$9</f>
        <v>3895272.7272727285</v>
      </c>
      <c r="AC511" s="417">
        <f>+H511*'Parametros Generales'!$J$10*'Parametros Generales'!$C$6*'Parametros Generales'!$C$11</f>
        <v>14738498.767401624</v>
      </c>
      <c r="AD511" s="417"/>
      <c r="AE511" s="417"/>
      <c r="AF511" s="417"/>
      <c r="AG511" s="417"/>
      <c r="AH511" s="417"/>
      <c r="AI511" s="417"/>
      <c r="AJ511" s="417"/>
      <c r="AK511" s="436"/>
      <c r="AL511" s="822"/>
    </row>
    <row r="512" spans="1:38" s="33" customFormat="1" hidden="1" outlineLevel="1">
      <c r="A512" s="1150"/>
      <c r="B512" s="821">
        <v>25</v>
      </c>
      <c r="C512" s="371" t="s">
        <v>348</v>
      </c>
      <c r="D512" s="31">
        <f>+VLOOKUP(E512,Codigos!$A$1:$B$1123,2,0)</f>
        <v>25151</v>
      </c>
      <c r="E512" s="1111" t="s">
        <v>1923</v>
      </c>
      <c r="F512" s="1103">
        <v>1</v>
      </c>
      <c r="G512" s="30">
        <v>198</v>
      </c>
      <c r="H512" s="1061">
        <f>CEILING((G512-50),'Parametros Generales'!$C$8)</f>
        <v>150</v>
      </c>
      <c r="I512" s="1057" t="s">
        <v>353</v>
      </c>
      <c r="J512" s="1058">
        <v>150</v>
      </c>
      <c r="K512" s="1070" t="str">
        <f t="shared" si="32"/>
        <v>Ok</v>
      </c>
      <c r="L512" s="1077">
        <f t="shared" si="33"/>
        <v>0</v>
      </c>
      <c r="M512" s="1090">
        <f>+H512/'Parametros Generales'!$C$8</f>
        <v>6</v>
      </c>
      <c r="N512" s="1097"/>
      <c r="O512" s="1097"/>
      <c r="P512" s="1097"/>
      <c r="Q512" s="1097"/>
      <c r="R512" s="1097">
        <f>+(M512/'Parametros Generales'!$C$9)</f>
        <v>1.5</v>
      </c>
      <c r="S512" s="390"/>
      <c r="T512" s="390"/>
      <c r="U512" s="390"/>
      <c r="V512" s="389"/>
      <c r="W512" s="32">
        <f>+R512*'Componentes T.H.'!$Q$9*'Parametros Generales'!$C$6</f>
        <v>7527760.6064999998</v>
      </c>
      <c r="X512" s="32">
        <f>(+VLOOKUP(C512,'Transporte y Viaticos'!$B$87:$L$120,2,0)*'Parametros Generales'!$C$7*R512)*(2/3)</f>
        <v>1194654.2139917242</v>
      </c>
      <c r="Y512" s="417"/>
      <c r="Z512" s="417"/>
      <c r="AA512" s="417"/>
      <c r="AB512" s="417">
        <f>+M512*'Parametros Generales'!$C$6*'Parametros Generales'!$J$9</f>
        <v>2921454.5454545463</v>
      </c>
      <c r="AC512" s="417">
        <f>+H512*'Parametros Generales'!$J$10*'Parametros Generales'!$C$6*'Parametros Generales'!$C$11</f>
        <v>11053874.075551221</v>
      </c>
      <c r="AD512" s="417"/>
      <c r="AE512" s="417"/>
      <c r="AF512" s="417"/>
      <c r="AG512" s="417"/>
      <c r="AH512" s="417"/>
      <c r="AI512" s="417"/>
      <c r="AJ512" s="417"/>
      <c r="AK512" s="436"/>
      <c r="AL512" s="822"/>
    </row>
    <row r="513" spans="1:38" s="33" customFormat="1" hidden="1" outlineLevel="1">
      <c r="A513" s="1150"/>
      <c r="B513" s="821">
        <v>25</v>
      </c>
      <c r="C513" s="371" t="s">
        <v>348</v>
      </c>
      <c r="D513" s="31">
        <f>+VLOOKUP(E513,Codigos!$A$1:$B$1123,2,0)</f>
        <v>25175</v>
      </c>
      <c r="E513" s="1111" t="s">
        <v>1924</v>
      </c>
      <c r="F513" s="1103">
        <v>1</v>
      </c>
      <c r="G513" s="30">
        <v>198</v>
      </c>
      <c r="H513" s="1061">
        <f>CEILING(G513,'Parametros Generales'!$C$8)</f>
        <v>200</v>
      </c>
      <c r="I513" s="1057" t="s">
        <v>354</v>
      </c>
      <c r="J513" s="1058">
        <v>200</v>
      </c>
      <c r="K513" s="1070" t="str">
        <f t="shared" si="32"/>
        <v>Ok</v>
      </c>
      <c r="L513" s="1077">
        <f t="shared" si="33"/>
        <v>0</v>
      </c>
      <c r="M513" s="1090">
        <f>+H513/'Parametros Generales'!$C$8</f>
        <v>8</v>
      </c>
      <c r="N513" s="1097"/>
      <c r="O513" s="1097"/>
      <c r="P513" s="1097"/>
      <c r="Q513" s="1097"/>
      <c r="R513" s="1097">
        <f>+(M513/'Parametros Generales'!$C$9)</f>
        <v>2</v>
      </c>
      <c r="S513" s="390"/>
      <c r="T513" s="390"/>
      <c r="U513" s="390"/>
      <c r="V513" s="389"/>
      <c r="W513" s="32">
        <f>+R513*'Componentes T.H.'!$Q$9*'Parametros Generales'!$C$6</f>
        <v>10037014.142000001</v>
      </c>
      <c r="X513" s="32">
        <f>(+VLOOKUP(C513,'Transporte y Viaticos'!$B$87:$L$120,2,0)*'Parametros Generales'!$C$7*R513)*(2/3)</f>
        <v>1592872.2853222988</v>
      </c>
      <c r="Y513" s="417"/>
      <c r="Z513" s="417"/>
      <c r="AA513" s="417"/>
      <c r="AB513" s="417">
        <f>+M513*'Parametros Generales'!$C$6*'Parametros Generales'!$J$9</f>
        <v>3895272.7272727285</v>
      </c>
      <c r="AC513" s="417">
        <f>+H513*'Parametros Generales'!$J$10*'Parametros Generales'!$C$6*'Parametros Generales'!$C$11</f>
        <v>14738498.767401624</v>
      </c>
      <c r="AD513" s="417"/>
      <c r="AE513" s="417"/>
      <c r="AF513" s="417"/>
      <c r="AG513" s="417"/>
      <c r="AH513" s="417"/>
      <c r="AI513" s="417"/>
      <c r="AJ513" s="417"/>
      <c r="AK513" s="436"/>
      <c r="AL513" s="822"/>
    </row>
    <row r="514" spans="1:38" s="33" customFormat="1" hidden="1" outlineLevel="1">
      <c r="A514" s="1150"/>
      <c r="B514" s="821">
        <v>25</v>
      </c>
      <c r="C514" s="371" t="s">
        <v>348</v>
      </c>
      <c r="D514" s="31">
        <f>+VLOOKUP(E514,Codigos!$A$1:$B$1123,2,0)</f>
        <v>25183</v>
      </c>
      <c r="E514" s="1111" t="s">
        <v>1925</v>
      </c>
      <c r="F514" s="1103">
        <v>1</v>
      </c>
      <c r="G514" s="30">
        <v>198</v>
      </c>
      <c r="H514" s="1061">
        <f>CEILING((G514-50),'Parametros Generales'!$C$8)</f>
        <v>150</v>
      </c>
      <c r="I514" s="1057" t="s">
        <v>355</v>
      </c>
      <c r="J514" s="1058">
        <v>150</v>
      </c>
      <c r="K514" s="1070" t="str">
        <f t="shared" ref="K514:K577" si="38">+IF(I514=E514,"Ok","Rev")</f>
        <v>Ok</v>
      </c>
      <c r="L514" s="1077">
        <f t="shared" ref="L514:L577" si="39">+J514-H514</f>
        <v>0</v>
      </c>
      <c r="M514" s="1090">
        <f>+H514/'Parametros Generales'!$C$8</f>
        <v>6</v>
      </c>
      <c r="N514" s="1097"/>
      <c r="O514" s="1097"/>
      <c r="P514" s="1097"/>
      <c r="Q514" s="1097"/>
      <c r="R514" s="1097">
        <f>+(M514/'Parametros Generales'!$C$9)</f>
        <v>1.5</v>
      </c>
      <c r="S514" s="390"/>
      <c r="T514" s="390"/>
      <c r="U514" s="390"/>
      <c r="V514" s="389"/>
      <c r="W514" s="32">
        <f>+R514*'Componentes T.H.'!$Q$9*'Parametros Generales'!$C$6</f>
        <v>7527760.6064999998</v>
      </c>
      <c r="X514" s="32">
        <f>(+VLOOKUP(C514,'Transporte y Viaticos'!$B$87:$L$120,2,0)*'Parametros Generales'!$C$7*R514)*(2/3)</f>
        <v>1194654.2139917242</v>
      </c>
      <c r="Y514" s="417"/>
      <c r="Z514" s="417"/>
      <c r="AA514" s="417"/>
      <c r="AB514" s="417">
        <f>+M514*'Parametros Generales'!$C$6*'Parametros Generales'!$J$9</f>
        <v>2921454.5454545463</v>
      </c>
      <c r="AC514" s="417">
        <f>+H514*'Parametros Generales'!$J$10*'Parametros Generales'!$C$6*'Parametros Generales'!$C$11</f>
        <v>11053874.075551221</v>
      </c>
      <c r="AD514" s="417"/>
      <c r="AE514" s="417"/>
      <c r="AF514" s="417"/>
      <c r="AG514" s="417"/>
      <c r="AH514" s="417"/>
      <c r="AI514" s="417"/>
      <c r="AJ514" s="417"/>
      <c r="AK514" s="436"/>
      <c r="AL514" s="822"/>
    </row>
    <row r="515" spans="1:38" s="33" customFormat="1" hidden="1" outlineLevel="1">
      <c r="A515" s="1150"/>
      <c r="B515" s="821">
        <v>25</v>
      </c>
      <c r="C515" s="371" t="s">
        <v>348</v>
      </c>
      <c r="D515" s="31">
        <f>+VLOOKUP(E515,Codigos!$A$1:$B$1123,2,0)</f>
        <v>25200</v>
      </c>
      <c r="E515" s="1111" t="s">
        <v>1926</v>
      </c>
      <c r="F515" s="1103">
        <v>1</v>
      </c>
      <c r="G515" s="30">
        <v>198</v>
      </c>
      <c r="H515" s="1061">
        <f>CEILING(G515,'Parametros Generales'!$C$8)</f>
        <v>200</v>
      </c>
      <c r="I515" s="1057" t="s">
        <v>356</v>
      </c>
      <c r="J515" s="1058">
        <v>200</v>
      </c>
      <c r="K515" s="1070" t="str">
        <f t="shared" si="38"/>
        <v>Ok</v>
      </c>
      <c r="L515" s="1077">
        <f t="shared" si="39"/>
        <v>0</v>
      </c>
      <c r="M515" s="1090">
        <f>+H515/'Parametros Generales'!$C$8</f>
        <v>8</v>
      </c>
      <c r="N515" s="1097"/>
      <c r="O515" s="1097"/>
      <c r="P515" s="1097"/>
      <c r="Q515" s="1097"/>
      <c r="R515" s="1097">
        <f>+(M515/'Parametros Generales'!$C$9)</f>
        <v>2</v>
      </c>
      <c r="S515" s="390"/>
      <c r="T515" s="390"/>
      <c r="U515" s="390"/>
      <c r="V515" s="389"/>
      <c r="W515" s="32">
        <f>+R515*'Componentes T.H.'!$Q$9*'Parametros Generales'!$C$6</f>
        <v>10037014.142000001</v>
      </c>
      <c r="X515" s="32">
        <f>(+VLOOKUP(C515,'Transporte y Viaticos'!$B$87:$L$120,2,0)*'Parametros Generales'!$C$7*R515)*(2/3)</f>
        <v>1592872.2853222988</v>
      </c>
      <c r="Y515" s="417"/>
      <c r="Z515" s="417"/>
      <c r="AA515" s="417"/>
      <c r="AB515" s="417">
        <f>+M515*'Parametros Generales'!$C$6*'Parametros Generales'!$J$9</f>
        <v>3895272.7272727285</v>
      </c>
      <c r="AC515" s="417">
        <f>+H515*'Parametros Generales'!$J$10*'Parametros Generales'!$C$6*'Parametros Generales'!$C$11</f>
        <v>14738498.767401624</v>
      </c>
      <c r="AD515" s="417"/>
      <c r="AE515" s="417"/>
      <c r="AF515" s="417"/>
      <c r="AG515" s="417"/>
      <c r="AH515" s="417"/>
      <c r="AI515" s="417"/>
      <c r="AJ515" s="417"/>
      <c r="AK515" s="436"/>
      <c r="AL515" s="822"/>
    </row>
    <row r="516" spans="1:38" s="33" customFormat="1" hidden="1" outlineLevel="1">
      <c r="A516" s="1150"/>
      <c r="B516" s="821">
        <v>25</v>
      </c>
      <c r="C516" s="371" t="s">
        <v>348</v>
      </c>
      <c r="D516" s="31">
        <f>+VLOOKUP(E516,Codigos!$A$1:$B$1123,2,0)</f>
        <v>25224</v>
      </c>
      <c r="E516" s="1111" t="s">
        <v>1927</v>
      </c>
      <c r="F516" s="1103">
        <v>1</v>
      </c>
      <c r="G516" s="30">
        <v>198</v>
      </c>
      <c r="H516" s="1061">
        <f>CEILING((G516-100),'Parametros Generales'!$C$8)</f>
        <v>100</v>
      </c>
      <c r="I516" s="1057" t="s">
        <v>357</v>
      </c>
      <c r="J516" s="1058">
        <v>100</v>
      </c>
      <c r="K516" s="1070" t="str">
        <f t="shared" si="38"/>
        <v>Ok</v>
      </c>
      <c r="L516" s="1077">
        <f t="shared" si="39"/>
        <v>0</v>
      </c>
      <c r="M516" s="1090">
        <f>+H516/'Parametros Generales'!$C$8</f>
        <v>4</v>
      </c>
      <c r="N516" s="1097"/>
      <c r="O516" s="1097"/>
      <c r="P516" s="1097"/>
      <c r="Q516" s="1097"/>
      <c r="R516" s="1097">
        <f>+(M516/'Parametros Generales'!$C$9)</f>
        <v>1</v>
      </c>
      <c r="S516" s="390"/>
      <c r="T516" s="390"/>
      <c r="U516" s="390"/>
      <c r="V516" s="389"/>
      <c r="W516" s="32">
        <f>+R516*'Componentes T.H.'!$Q$9*'Parametros Generales'!$C$6</f>
        <v>5018507.0710000005</v>
      </c>
      <c r="X516" s="32">
        <f>(+VLOOKUP(C516,'Transporte y Viaticos'!$B$87:$L$120,2,0)*'Parametros Generales'!$C$7*R516)*(2/3)</f>
        <v>796436.14266114938</v>
      </c>
      <c r="Y516" s="417"/>
      <c r="Z516" s="417"/>
      <c r="AA516" s="417"/>
      <c r="AB516" s="417">
        <f>+M516*'Parametros Generales'!$C$6*'Parametros Generales'!$J$9</f>
        <v>1947636.3636363642</v>
      </c>
      <c r="AC516" s="417">
        <f>+H516*'Parametros Generales'!$J$10*'Parametros Generales'!$C$6*'Parametros Generales'!$C$11</f>
        <v>7369249.3837008122</v>
      </c>
      <c r="AD516" s="417"/>
      <c r="AE516" s="417"/>
      <c r="AF516" s="417"/>
      <c r="AG516" s="417"/>
      <c r="AH516" s="417"/>
      <c r="AI516" s="417"/>
      <c r="AJ516" s="417"/>
      <c r="AK516" s="436"/>
      <c r="AL516" s="822"/>
    </row>
    <row r="517" spans="1:38" s="33" customFormat="1" hidden="1" outlineLevel="1">
      <c r="A517" s="1150"/>
      <c r="B517" s="821">
        <v>25</v>
      </c>
      <c r="C517" s="371" t="s">
        <v>348</v>
      </c>
      <c r="D517" s="31">
        <f>+VLOOKUP(E517,Codigos!$A$1:$B$1123,2,0)</f>
        <v>25245</v>
      </c>
      <c r="E517" s="1111" t="s">
        <v>1928</v>
      </c>
      <c r="F517" s="1103">
        <v>1</v>
      </c>
      <c r="G517" s="30">
        <v>198</v>
      </c>
      <c r="H517" s="1061">
        <f>CEILING((G517-100),'Parametros Generales'!$C$8)</f>
        <v>100</v>
      </c>
      <c r="I517" s="1057" t="s">
        <v>358</v>
      </c>
      <c r="J517" s="1058">
        <v>100</v>
      </c>
      <c r="K517" s="1070" t="str">
        <f t="shared" si="38"/>
        <v>Ok</v>
      </c>
      <c r="L517" s="1077">
        <f t="shared" si="39"/>
        <v>0</v>
      </c>
      <c r="M517" s="1090">
        <f>+H517/'Parametros Generales'!$C$8</f>
        <v>4</v>
      </c>
      <c r="N517" s="1097"/>
      <c r="O517" s="1097"/>
      <c r="P517" s="1097"/>
      <c r="Q517" s="1097"/>
      <c r="R517" s="1097">
        <f>+(M517/'Parametros Generales'!$C$9)</f>
        <v>1</v>
      </c>
      <c r="S517" s="390"/>
      <c r="T517" s="390"/>
      <c r="U517" s="390"/>
      <c r="V517" s="389"/>
      <c r="W517" s="32">
        <f>+R517*'Componentes T.H.'!$Q$9*'Parametros Generales'!$C$6</f>
        <v>5018507.0710000005</v>
      </c>
      <c r="X517" s="32">
        <f>(+VLOOKUP(C517,'Transporte y Viaticos'!$B$87:$L$120,2,0)*'Parametros Generales'!$C$7*R517)*(2/3)</f>
        <v>796436.14266114938</v>
      </c>
      <c r="Y517" s="417"/>
      <c r="Z517" s="417"/>
      <c r="AA517" s="417"/>
      <c r="AB517" s="417">
        <f>+M517*'Parametros Generales'!$C$6*'Parametros Generales'!$J$9</f>
        <v>1947636.3636363642</v>
      </c>
      <c r="AC517" s="417">
        <f>+H517*'Parametros Generales'!$J$10*'Parametros Generales'!$C$6*'Parametros Generales'!$C$11</f>
        <v>7369249.3837008122</v>
      </c>
      <c r="AD517" s="417"/>
      <c r="AE517" s="417"/>
      <c r="AF517" s="417"/>
      <c r="AG517" s="417"/>
      <c r="AH517" s="417"/>
      <c r="AI517" s="417"/>
      <c r="AJ517" s="417"/>
      <c r="AK517" s="436"/>
      <c r="AL517" s="822"/>
    </row>
    <row r="518" spans="1:38" s="33" customFormat="1" hidden="1" outlineLevel="1">
      <c r="A518" s="1150"/>
      <c r="B518" s="821">
        <v>25</v>
      </c>
      <c r="C518" s="371" t="s">
        <v>348</v>
      </c>
      <c r="D518" s="31">
        <f>+VLOOKUP(E518,Codigos!$A$1:$B$1123,2,0)</f>
        <v>25260</v>
      </c>
      <c r="E518" s="1111" t="s">
        <v>1929</v>
      </c>
      <c r="F518" s="1103">
        <v>1</v>
      </c>
      <c r="G518" s="30">
        <v>198</v>
      </c>
      <c r="H518" s="1061">
        <f>CEILING(G518,'Parametros Generales'!$C$8)</f>
        <v>200</v>
      </c>
      <c r="I518" s="1057" t="s">
        <v>359</v>
      </c>
      <c r="J518" s="1058">
        <v>200</v>
      </c>
      <c r="K518" s="1070" t="str">
        <f t="shared" si="38"/>
        <v>Ok</v>
      </c>
      <c r="L518" s="1077">
        <f t="shared" si="39"/>
        <v>0</v>
      </c>
      <c r="M518" s="1090">
        <f>+H518/'Parametros Generales'!$C$8</f>
        <v>8</v>
      </c>
      <c r="N518" s="1097"/>
      <c r="O518" s="1097"/>
      <c r="P518" s="1097"/>
      <c r="Q518" s="1097"/>
      <c r="R518" s="1097">
        <f>+(M518/'Parametros Generales'!$C$9)</f>
        <v>2</v>
      </c>
      <c r="S518" s="390"/>
      <c r="T518" s="390"/>
      <c r="U518" s="390"/>
      <c r="V518" s="389"/>
      <c r="W518" s="32">
        <f>+R518*'Componentes T.H.'!$Q$9*'Parametros Generales'!$C$6</f>
        <v>10037014.142000001</v>
      </c>
      <c r="X518" s="32">
        <f>(+VLOOKUP(C518,'Transporte y Viaticos'!$B$87:$L$120,2,0)*'Parametros Generales'!$C$7*R518)*(2/3)</f>
        <v>1592872.2853222988</v>
      </c>
      <c r="Y518" s="417"/>
      <c r="Z518" s="417"/>
      <c r="AA518" s="417"/>
      <c r="AB518" s="417">
        <f>+M518*'Parametros Generales'!$C$6*'Parametros Generales'!$J$9</f>
        <v>3895272.7272727285</v>
      </c>
      <c r="AC518" s="417">
        <f>+H518*'Parametros Generales'!$J$10*'Parametros Generales'!$C$6*'Parametros Generales'!$C$11</f>
        <v>14738498.767401624</v>
      </c>
      <c r="AD518" s="417"/>
      <c r="AE518" s="417"/>
      <c r="AF518" s="417"/>
      <c r="AG518" s="417"/>
      <c r="AH518" s="417"/>
      <c r="AI518" s="417"/>
      <c r="AJ518" s="417"/>
      <c r="AK518" s="436"/>
      <c r="AL518" s="822"/>
    </row>
    <row r="519" spans="1:38" s="33" customFormat="1" hidden="1" outlineLevel="1">
      <c r="A519" s="1150"/>
      <c r="B519" s="821">
        <v>25</v>
      </c>
      <c r="C519" s="371" t="s">
        <v>348</v>
      </c>
      <c r="D519" s="31">
        <f>+VLOOKUP(E519,Codigos!$A$1:$B$1123,2,0)</f>
        <v>25269</v>
      </c>
      <c r="E519" s="1111" t="s">
        <v>1930</v>
      </c>
      <c r="F519" s="1103">
        <v>1</v>
      </c>
      <c r="G519" s="30">
        <v>198</v>
      </c>
      <c r="H519" s="1061">
        <f>CEILING((G519+50),'Parametros Generales'!$C$8)</f>
        <v>250</v>
      </c>
      <c r="I519" s="1057" t="s">
        <v>360</v>
      </c>
      <c r="J519" s="1058">
        <v>250</v>
      </c>
      <c r="K519" s="1070" t="str">
        <f t="shared" si="38"/>
        <v>Ok</v>
      </c>
      <c r="L519" s="1077">
        <f t="shared" si="39"/>
        <v>0</v>
      </c>
      <c r="M519" s="1090">
        <f>+H519/'Parametros Generales'!$C$8</f>
        <v>10</v>
      </c>
      <c r="N519" s="1097"/>
      <c r="O519" s="1097"/>
      <c r="P519" s="1097"/>
      <c r="Q519" s="1097"/>
      <c r="R519" s="1097">
        <f>+(M519/'Parametros Generales'!$C$9)</f>
        <v>2.5</v>
      </c>
      <c r="S519" s="390"/>
      <c r="T519" s="390"/>
      <c r="U519" s="390"/>
      <c r="V519" s="389"/>
      <c r="W519" s="32">
        <f>+R519*'Componentes T.H.'!$Q$9*'Parametros Generales'!$C$6</f>
        <v>12546267.677500002</v>
      </c>
      <c r="X519" s="32">
        <f>(+VLOOKUP(C519,'Transporte y Viaticos'!$B$87:$L$120,2,0)*'Parametros Generales'!$C$7*R519)*(2/3)</f>
        <v>1991090.3566528736</v>
      </c>
      <c r="Y519" s="417"/>
      <c r="Z519" s="417"/>
      <c r="AA519" s="417"/>
      <c r="AB519" s="417">
        <f>+M519*'Parametros Generales'!$C$6*'Parametros Generales'!$J$9</f>
        <v>4869090.9090909101</v>
      </c>
      <c r="AC519" s="417">
        <f>+H519*'Parametros Generales'!$J$10*'Parametros Generales'!$C$6*'Parametros Generales'!$C$11</f>
        <v>18423123.459252033</v>
      </c>
      <c r="AD519" s="417"/>
      <c r="AE519" s="417"/>
      <c r="AF519" s="417"/>
      <c r="AG519" s="417"/>
      <c r="AH519" s="417"/>
      <c r="AI519" s="417"/>
      <c r="AJ519" s="417"/>
      <c r="AK519" s="436"/>
      <c r="AL519" s="822"/>
    </row>
    <row r="520" spans="1:38" s="33" customFormat="1" hidden="1" outlineLevel="1">
      <c r="A520" s="1150"/>
      <c r="B520" s="821">
        <v>25</v>
      </c>
      <c r="C520" s="371" t="s">
        <v>348</v>
      </c>
      <c r="D520" s="31">
        <f>+VLOOKUP(E520,Codigos!$A$1:$B$1123,2,0)</f>
        <v>25286</v>
      </c>
      <c r="E520" s="1111" t="s">
        <v>1931</v>
      </c>
      <c r="F520" s="1103">
        <v>1</v>
      </c>
      <c r="G520" s="30">
        <v>198</v>
      </c>
      <c r="H520" s="1061">
        <f>CEILING((G520-50),'Parametros Generales'!$C$8)</f>
        <v>150</v>
      </c>
      <c r="I520" s="1057" t="s">
        <v>361</v>
      </c>
      <c r="J520" s="1058">
        <v>150</v>
      </c>
      <c r="K520" s="1070" t="str">
        <f t="shared" si="38"/>
        <v>Ok</v>
      </c>
      <c r="L520" s="1077">
        <f t="shared" si="39"/>
        <v>0</v>
      </c>
      <c r="M520" s="1090">
        <f>+H520/'Parametros Generales'!$C$8</f>
        <v>6</v>
      </c>
      <c r="N520" s="1097"/>
      <c r="O520" s="1097"/>
      <c r="P520" s="1097"/>
      <c r="Q520" s="1097"/>
      <c r="R520" s="1097">
        <f>+(M520/'Parametros Generales'!$C$9)</f>
        <v>1.5</v>
      </c>
      <c r="S520" s="390"/>
      <c r="T520" s="390"/>
      <c r="U520" s="390"/>
      <c r="V520" s="389"/>
      <c r="W520" s="32">
        <f>+R520*'Componentes T.H.'!$Q$9*'Parametros Generales'!$C$6</f>
        <v>7527760.6064999998</v>
      </c>
      <c r="X520" s="32">
        <f>(+VLOOKUP(C520,'Transporte y Viaticos'!$B$87:$L$120,2,0)*'Parametros Generales'!$C$7*R520)*(2/3)</f>
        <v>1194654.2139917242</v>
      </c>
      <c r="Y520" s="417"/>
      <c r="Z520" s="417"/>
      <c r="AA520" s="417"/>
      <c r="AB520" s="417">
        <f>+M520*'Parametros Generales'!$C$6*'Parametros Generales'!$J$9</f>
        <v>2921454.5454545463</v>
      </c>
      <c r="AC520" s="417">
        <f>+H520*'Parametros Generales'!$J$10*'Parametros Generales'!$C$6*'Parametros Generales'!$C$11</f>
        <v>11053874.075551221</v>
      </c>
      <c r="AD520" s="417"/>
      <c r="AE520" s="417"/>
      <c r="AF520" s="417"/>
      <c r="AG520" s="417"/>
      <c r="AH520" s="417"/>
      <c r="AI520" s="417"/>
      <c r="AJ520" s="417"/>
      <c r="AK520" s="436"/>
      <c r="AL520" s="822"/>
    </row>
    <row r="521" spans="1:38" s="33" customFormat="1" hidden="1" outlineLevel="1">
      <c r="A521" s="1150"/>
      <c r="B521" s="821">
        <v>25</v>
      </c>
      <c r="C521" s="371" t="s">
        <v>348</v>
      </c>
      <c r="D521" s="31">
        <f>+VLOOKUP(E521,Codigos!$A$1:$B$1123,2,0)</f>
        <v>25290</v>
      </c>
      <c r="E521" s="1111" t="s">
        <v>1932</v>
      </c>
      <c r="F521" s="1103">
        <v>1</v>
      </c>
      <c r="G521" s="30">
        <v>198</v>
      </c>
      <c r="H521" s="1061">
        <f>CEILING((G521-50),'Parametros Generales'!$C$8)</f>
        <v>150</v>
      </c>
      <c r="I521" s="1057" t="s">
        <v>362</v>
      </c>
      <c r="J521" s="1058">
        <v>150</v>
      </c>
      <c r="K521" s="1070" t="str">
        <f t="shared" si="38"/>
        <v>Ok</v>
      </c>
      <c r="L521" s="1077">
        <f t="shared" si="39"/>
        <v>0</v>
      </c>
      <c r="M521" s="1090">
        <f>+H521/'Parametros Generales'!$C$8</f>
        <v>6</v>
      </c>
      <c r="N521" s="1097"/>
      <c r="O521" s="1097"/>
      <c r="P521" s="1097"/>
      <c r="Q521" s="1097"/>
      <c r="R521" s="1097">
        <f>+(M521/'Parametros Generales'!$C$9)</f>
        <v>1.5</v>
      </c>
      <c r="S521" s="390"/>
      <c r="T521" s="390"/>
      <c r="U521" s="390"/>
      <c r="V521" s="389"/>
      <c r="W521" s="32">
        <f>+R521*'Componentes T.H.'!$Q$9*'Parametros Generales'!$C$6</f>
        <v>7527760.6064999998</v>
      </c>
      <c r="X521" s="32">
        <f>(+VLOOKUP(C521,'Transporte y Viaticos'!$B$87:$L$120,2,0)*'Parametros Generales'!$C$7*R521)*(2/3)</f>
        <v>1194654.2139917242</v>
      </c>
      <c r="Y521" s="417"/>
      <c r="Z521" s="417"/>
      <c r="AA521" s="417"/>
      <c r="AB521" s="417">
        <f>+M521*'Parametros Generales'!$C$6*'Parametros Generales'!$J$9</f>
        <v>2921454.5454545463</v>
      </c>
      <c r="AC521" s="417">
        <f>+H521*'Parametros Generales'!$J$10*'Parametros Generales'!$C$6*'Parametros Generales'!$C$11</f>
        <v>11053874.075551221</v>
      </c>
      <c r="AD521" s="417"/>
      <c r="AE521" s="417"/>
      <c r="AF521" s="417"/>
      <c r="AG521" s="417"/>
      <c r="AH521" s="417"/>
      <c r="AI521" s="417"/>
      <c r="AJ521" s="417"/>
      <c r="AK521" s="436"/>
      <c r="AL521" s="822"/>
    </row>
    <row r="522" spans="1:38" s="33" customFormat="1" hidden="1" outlineLevel="1">
      <c r="A522" s="1150"/>
      <c r="B522" s="821">
        <v>25</v>
      </c>
      <c r="C522" s="371" t="s">
        <v>348</v>
      </c>
      <c r="D522" s="31">
        <f>+VLOOKUP(E522,Codigos!$A$1:$B$1123,2,0)</f>
        <v>25297</v>
      </c>
      <c r="E522" s="1117" t="s">
        <v>948</v>
      </c>
      <c r="F522" s="1103">
        <v>1</v>
      </c>
      <c r="G522" s="30">
        <v>0</v>
      </c>
      <c r="H522" s="1061">
        <v>50</v>
      </c>
      <c r="I522" s="1057" t="s">
        <v>948</v>
      </c>
      <c r="J522" s="1058">
        <v>50</v>
      </c>
      <c r="K522" s="1070" t="str">
        <f t="shared" si="38"/>
        <v>Ok</v>
      </c>
      <c r="L522" s="1077">
        <f t="shared" si="39"/>
        <v>0</v>
      </c>
      <c r="M522" s="1090">
        <f>+H522/'Parametros Generales'!$C$8</f>
        <v>2</v>
      </c>
      <c r="N522" s="1097"/>
      <c r="O522" s="1097"/>
      <c r="P522" s="1097"/>
      <c r="Q522" s="1097"/>
      <c r="R522" s="1097">
        <f>+(M522/'Parametros Generales'!$C$9)</f>
        <v>0.5</v>
      </c>
      <c r="S522" s="390"/>
      <c r="T522" s="390"/>
      <c r="U522" s="390"/>
      <c r="V522" s="389"/>
      <c r="W522" s="32">
        <f>+R522*'Componentes T.H.'!$Q$9*'Parametros Generales'!$C$6</f>
        <v>2509253.5355000002</v>
      </c>
      <c r="X522" s="32">
        <f>(+VLOOKUP(C522,'Transporte y Viaticos'!$B$87:$L$120,2,0)*'Parametros Generales'!$C$7*R522)*(2/3)</f>
        <v>398218.07133057469</v>
      </c>
      <c r="Y522" s="417"/>
      <c r="Z522" s="417"/>
      <c r="AA522" s="417"/>
      <c r="AB522" s="417">
        <f>+M522*'Parametros Generales'!$C$6*'Parametros Generales'!$J$9</f>
        <v>973818.18181818211</v>
      </c>
      <c r="AC522" s="417">
        <f>+H522*'Parametros Generales'!$J$10*'Parametros Generales'!$C$6*'Parametros Generales'!$C$11</f>
        <v>3684624.6918504061</v>
      </c>
      <c r="AD522" s="417"/>
      <c r="AE522" s="417"/>
      <c r="AF522" s="417"/>
      <c r="AG522" s="417"/>
      <c r="AH522" s="417"/>
      <c r="AI522" s="417"/>
      <c r="AJ522" s="417"/>
      <c r="AK522" s="436"/>
      <c r="AL522" s="822"/>
    </row>
    <row r="523" spans="1:38" s="33" customFormat="1" hidden="1" outlineLevel="1">
      <c r="A523" s="1150"/>
      <c r="B523" s="821">
        <v>25</v>
      </c>
      <c r="C523" s="371" t="s">
        <v>348</v>
      </c>
      <c r="D523" s="31">
        <f>+VLOOKUP(E523,Codigos!$A$1:$B$1123,2,0)</f>
        <v>25299</v>
      </c>
      <c r="E523" s="1111" t="s">
        <v>1933</v>
      </c>
      <c r="F523" s="1103">
        <v>1</v>
      </c>
      <c r="G523" s="30">
        <v>198</v>
      </c>
      <c r="H523" s="1061">
        <f>CEILING((G523-150),'Parametros Generales'!$C$8)</f>
        <v>50</v>
      </c>
      <c r="I523" s="1057" t="s">
        <v>363</v>
      </c>
      <c r="J523" s="1058">
        <v>50</v>
      </c>
      <c r="K523" s="1070" t="str">
        <f t="shared" si="38"/>
        <v>Ok</v>
      </c>
      <c r="L523" s="1077">
        <f t="shared" si="39"/>
        <v>0</v>
      </c>
      <c r="M523" s="1090">
        <f>+H523/'Parametros Generales'!$C$8</f>
        <v>2</v>
      </c>
      <c r="N523" s="1097"/>
      <c r="O523" s="1097"/>
      <c r="P523" s="1097"/>
      <c r="Q523" s="1097"/>
      <c r="R523" s="1097">
        <f>+(M523/'Parametros Generales'!$C$9)</f>
        <v>0.5</v>
      </c>
      <c r="S523" s="390"/>
      <c r="T523" s="390"/>
      <c r="U523" s="390"/>
      <c r="V523" s="389"/>
      <c r="W523" s="32">
        <f>+R523*'Componentes T.H.'!$Q$9*'Parametros Generales'!$C$6</f>
        <v>2509253.5355000002</v>
      </c>
      <c r="X523" s="32">
        <f>(+VLOOKUP(C523,'Transporte y Viaticos'!$B$87:$L$120,2,0)*'Parametros Generales'!$C$7*R523)*(2/3)</f>
        <v>398218.07133057469</v>
      </c>
      <c r="Y523" s="417"/>
      <c r="Z523" s="417"/>
      <c r="AA523" s="417"/>
      <c r="AB523" s="417">
        <f>+M523*'Parametros Generales'!$C$6*'Parametros Generales'!$J$9</f>
        <v>973818.18181818211</v>
      </c>
      <c r="AC523" s="417">
        <f>+H523*'Parametros Generales'!$J$10*'Parametros Generales'!$C$6*'Parametros Generales'!$C$11</f>
        <v>3684624.6918504061</v>
      </c>
      <c r="AD523" s="417"/>
      <c r="AE523" s="417"/>
      <c r="AF523" s="417"/>
      <c r="AG523" s="417"/>
      <c r="AH523" s="417"/>
      <c r="AI523" s="417"/>
      <c r="AJ523" s="417"/>
      <c r="AK523" s="436"/>
      <c r="AL523" s="822"/>
    </row>
    <row r="524" spans="1:38" s="33" customFormat="1" hidden="1" outlineLevel="1">
      <c r="A524" s="1150"/>
      <c r="B524" s="821">
        <v>25</v>
      </c>
      <c r="C524" s="371" t="s">
        <v>348</v>
      </c>
      <c r="D524" s="31">
        <f>+VLOOKUP(E524,Codigos!$A$1:$B$1123,2,0)</f>
        <v>25307</v>
      </c>
      <c r="E524" s="1111" t="s">
        <v>1934</v>
      </c>
      <c r="F524" s="1103">
        <v>1</v>
      </c>
      <c r="G524" s="30">
        <v>198</v>
      </c>
      <c r="H524" s="1061">
        <f>CEILING(G524,'Parametros Generales'!$C$8)</f>
        <v>200</v>
      </c>
      <c r="I524" s="1057" t="s">
        <v>364</v>
      </c>
      <c r="J524" s="1058">
        <v>200</v>
      </c>
      <c r="K524" s="1070" t="str">
        <f t="shared" si="38"/>
        <v>Ok</v>
      </c>
      <c r="L524" s="1077">
        <f t="shared" si="39"/>
        <v>0</v>
      </c>
      <c r="M524" s="1090">
        <f>+H524/'Parametros Generales'!$C$8</f>
        <v>8</v>
      </c>
      <c r="N524" s="1097"/>
      <c r="O524" s="1097"/>
      <c r="P524" s="1097"/>
      <c r="Q524" s="1097"/>
      <c r="R524" s="1097">
        <f>+(M524/'Parametros Generales'!$C$9)</f>
        <v>2</v>
      </c>
      <c r="S524" s="390"/>
      <c r="T524" s="390"/>
      <c r="U524" s="390"/>
      <c r="V524" s="389"/>
      <c r="W524" s="32">
        <f>+R524*'Componentes T.H.'!$Q$9*'Parametros Generales'!$C$6</f>
        <v>10037014.142000001</v>
      </c>
      <c r="X524" s="32">
        <f>(+VLOOKUP(C524,'Transporte y Viaticos'!$B$87:$L$120,2,0)*'Parametros Generales'!$C$7*R524)*(2/3)</f>
        <v>1592872.2853222988</v>
      </c>
      <c r="Y524" s="417"/>
      <c r="Z524" s="417"/>
      <c r="AA524" s="417"/>
      <c r="AB524" s="417">
        <f>+M524*'Parametros Generales'!$C$6*'Parametros Generales'!$J$9</f>
        <v>3895272.7272727285</v>
      </c>
      <c r="AC524" s="417">
        <f>+H524*'Parametros Generales'!$J$10*'Parametros Generales'!$C$6*'Parametros Generales'!$C$11</f>
        <v>14738498.767401624</v>
      </c>
      <c r="AD524" s="417"/>
      <c r="AE524" s="417"/>
      <c r="AF524" s="417"/>
      <c r="AG524" s="417"/>
      <c r="AH524" s="417"/>
      <c r="AI524" s="417"/>
      <c r="AJ524" s="417"/>
      <c r="AK524" s="436"/>
      <c r="AL524" s="822"/>
    </row>
    <row r="525" spans="1:38" s="33" customFormat="1" hidden="1" outlineLevel="1">
      <c r="A525" s="1150"/>
      <c r="B525" s="821">
        <v>25</v>
      </c>
      <c r="C525" s="371" t="s">
        <v>348</v>
      </c>
      <c r="D525" s="31">
        <f>+VLOOKUP(E525,Codigos!$A$1:$B$1123,2,0)</f>
        <v>25317</v>
      </c>
      <c r="E525" s="1117" t="s">
        <v>949</v>
      </c>
      <c r="F525" s="1103">
        <v>1</v>
      </c>
      <c r="G525" s="30">
        <v>0</v>
      </c>
      <c r="H525" s="1061">
        <v>50</v>
      </c>
      <c r="I525" s="1057" t="s">
        <v>949</v>
      </c>
      <c r="J525" s="1058">
        <v>50</v>
      </c>
      <c r="K525" s="1070" t="str">
        <f t="shared" si="38"/>
        <v>Ok</v>
      </c>
      <c r="L525" s="1077">
        <f t="shared" si="39"/>
        <v>0</v>
      </c>
      <c r="M525" s="1090">
        <f>+H525/'Parametros Generales'!$C$8</f>
        <v>2</v>
      </c>
      <c r="N525" s="1097"/>
      <c r="O525" s="1097"/>
      <c r="P525" s="1097"/>
      <c r="Q525" s="1097"/>
      <c r="R525" s="1097">
        <f>+(M525/'Parametros Generales'!$C$9)</f>
        <v>0.5</v>
      </c>
      <c r="S525" s="390"/>
      <c r="T525" s="390"/>
      <c r="U525" s="390"/>
      <c r="V525" s="389"/>
      <c r="W525" s="32">
        <f>+R525*'Componentes T.H.'!$Q$9*'Parametros Generales'!$C$6</f>
        <v>2509253.5355000002</v>
      </c>
      <c r="X525" s="32">
        <f>(+VLOOKUP(C525,'Transporte y Viaticos'!$B$87:$L$120,2,0)*'Parametros Generales'!$C$7*R525)*(2/3)</f>
        <v>398218.07133057469</v>
      </c>
      <c r="Y525" s="417"/>
      <c r="Z525" s="417"/>
      <c r="AA525" s="417"/>
      <c r="AB525" s="417">
        <f>+M525*'Parametros Generales'!$C$6*'Parametros Generales'!$J$9</f>
        <v>973818.18181818211</v>
      </c>
      <c r="AC525" s="417">
        <f>+H525*'Parametros Generales'!$J$10*'Parametros Generales'!$C$6*'Parametros Generales'!$C$11</f>
        <v>3684624.6918504061</v>
      </c>
      <c r="AD525" s="417"/>
      <c r="AE525" s="417"/>
      <c r="AF525" s="417"/>
      <c r="AG525" s="417"/>
      <c r="AH525" s="417"/>
      <c r="AI525" s="417"/>
      <c r="AJ525" s="417"/>
      <c r="AK525" s="436"/>
      <c r="AL525" s="822"/>
    </row>
    <row r="526" spans="1:38" s="33" customFormat="1" hidden="1" outlineLevel="1">
      <c r="A526" s="1150"/>
      <c r="B526" s="821">
        <v>25</v>
      </c>
      <c r="C526" s="371" t="s">
        <v>348</v>
      </c>
      <c r="D526" s="31">
        <f>+VLOOKUP(E526,Codigos!$A$1:$B$1123,2,0)</f>
        <v>25320</v>
      </c>
      <c r="E526" s="1111" t="s">
        <v>1935</v>
      </c>
      <c r="F526" s="1103">
        <v>1</v>
      </c>
      <c r="G526" s="30">
        <v>198</v>
      </c>
      <c r="H526" s="1061">
        <f>CEILING(G526,'Parametros Generales'!$C$8)</f>
        <v>200</v>
      </c>
      <c r="I526" s="1057" t="s">
        <v>365</v>
      </c>
      <c r="J526" s="1058">
        <v>200</v>
      </c>
      <c r="K526" s="1070" t="str">
        <f t="shared" si="38"/>
        <v>Ok</v>
      </c>
      <c r="L526" s="1077">
        <f t="shared" si="39"/>
        <v>0</v>
      </c>
      <c r="M526" s="1090">
        <f>+H526/'Parametros Generales'!$C$8</f>
        <v>8</v>
      </c>
      <c r="N526" s="1097"/>
      <c r="O526" s="1097"/>
      <c r="P526" s="1097"/>
      <c r="Q526" s="1097"/>
      <c r="R526" s="1097">
        <f>+(M526/'Parametros Generales'!$C$9)</f>
        <v>2</v>
      </c>
      <c r="S526" s="390"/>
      <c r="T526" s="390"/>
      <c r="U526" s="390"/>
      <c r="V526" s="389"/>
      <c r="W526" s="32">
        <f>+R526*'Componentes T.H.'!$Q$9*'Parametros Generales'!$C$6</f>
        <v>10037014.142000001</v>
      </c>
      <c r="X526" s="32">
        <f>(+VLOOKUP(C526,'Transporte y Viaticos'!$B$87:$L$120,2,0)*'Parametros Generales'!$C$7*R526)*(2/3)</f>
        <v>1592872.2853222988</v>
      </c>
      <c r="Y526" s="417"/>
      <c r="Z526" s="417"/>
      <c r="AA526" s="417"/>
      <c r="AB526" s="417">
        <f>+M526*'Parametros Generales'!$C$6*'Parametros Generales'!$J$9</f>
        <v>3895272.7272727285</v>
      </c>
      <c r="AC526" s="417">
        <f>+H526*'Parametros Generales'!$J$10*'Parametros Generales'!$C$6*'Parametros Generales'!$C$11</f>
        <v>14738498.767401624</v>
      </c>
      <c r="AD526" s="417"/>
      <c r="AE526" s="417"/>
      <c r="AF526" s="417"/>
      <c r="AG526" s="417"/>
      <c r="AH526" s="417"/>
      <c r="AI526" s="417"/>
      <c r="AJ526" s="417"/>
      <c r="AK526" s="436"/>
      <c r="AL526" s="822"/>
    </row>
    <row r="527" spans="1:38" s="33" customFormat="1" hidden="1" outlineLevel="1">
      <c r="A527" s="1150"/>
      <c r="B527" s="821">
        <v>25</v>
      </c>
      <c r="C527" s="371" t="s">
        <v>348</v>
      </c>
      <c r="D527" s="31">
        <f>+VLOOKUP(E527,Codigos!$A$1:$B$1123,2,0)</f>
        <v>25322</v>
      </c>
      <c r="E527" s="1111" t="s">
        <v>950</v>
      </c>
      <c r="F527" s="1103">
        <v>1</v>
      </c>
      <c r="G527" s="30"/>
      <c r="H527" s="1061">
        <v>50</v>
      </c>
      <c r="I527" s="1057" t="s">
        <v>950</v>
      </c>
      <c r="J527" s="1058">
        <v>50</v>
      </c>
      <c r="K527" s="1070" t="str">
        <f t="shared" si="38"/>
        <v>Ok</v>
      </c>
      <c r="L527" s="1077">
        <f t="shared" si="39"/>
        <v>0</v>
      </c>
      <c r="M527" s="1090">
        <f>+H527/'Parametros Generales'!$C$8</f>
        <v>2</v>
      </c>
      <c r="N527" s="1097"/>
      <c r="O527" s="1097"/>
      <c r="P527" s="1097"/>
      <c r="Q527" s="1097"/>
      <c r="R527" s="1097">
        <f>+(M527/'Parametros Generales'!$C$9)</f>
        <v>0.5</v>
      </c>
      <c r="S527" s="390"/>
      <c r="T527" s="390"/>
      <c r="U527" s="390"/>
      <c r="V527" s="389"/>
      <c r="W527" s="32">
        <f>+R527*'Componentes T.H.'!$Q$9*'Parametros Generales'!$C$6</f>
        <v>2509253.5355000002</v>
      </c>
      <c r="X527" s="32">
        <f>(+VLOOKUP(C527,'Transporte y Viaticos'!$B$87:$L$120,2,0)*'Parametros Generales'!$C$7*R527)*(2/3)</f>
        <v>398218.07133057469</v>
      </c>
      <c r="Y527" s="417"/>
      <c r="Z527" s="417"/>
      <c r="AA527" s="417"/>
      <c r="AB527" s="417">
        <f>+M527*'Parametros Generales'!$C$6*'Parametros Generales'!$J$9</f>
        <v>973818.18181818211</v>
      </c>
      <c r="AC527" s="417">
        <f>+H527*'Parametros Generales'!$J$10*'Parametros Generales'!$C$6*'Parametros Generales'!$C$11</f>
        <v>3684624.6918504061</v>
      </c>
      <c r="AD527" s="417"/>
      <c r="AE527" s="417"/>
      <c r="AF527" s="417"/>
      <c r="AG527" s="417"/>
      <c r="AH527" s="417"/>
      <c r="AI527" s="417"/>
      <c r="AJ527" s="417"/>
      <c r="AK527" s="436"/>
      <c r="AL527" s="822"/>
    </row>
    <row r="528" spans="1:38" s="33" customFormat="1" hidden="1" outlineLevel="1">
      <c r="A528" s="1150"/>
      <c r="B528" s="821">
        <v>25</v>
      </c>
      <c r="C528" s="371" t="s">
        <v>348</v>
      </c>
      <c r="D528" s="31">
        <f>+VLOOKUP(E528,Codigos!$A$1:$B$1123,2,0)</f>
        <v>25326</v>
      </c>
      <c r="E528" s="1111" t="s">
        <v>1936</v>
      </c>
      <c r="F528" s="1103">
        <v>1</v>
      </c>
      <c r="G528" s="30">
        <v>198</v>
      </c>
      <c r="H528" s="1061">
        <f>CEILING((G528-150),'Parametros Generales'!$C$8)</f>
        <v>50</v>
      </c>
      <c r="I528" s="1057" t="s">
        <v>366</v>
      </c>
      <c r="J528" s="1058">
        <v>50</v>
      </c>
      <c r="K528" s="1070" t="str">
        <f t="shared" si="38"/>
        <v>Ok</v>
      </c>
      <c r="L528" s="1077">
        <f t="shared" si="39"/>
        <v>0</v>
      </c>
      <c r="M528" s="1090">
        <f>+H528/'Parametros Generales'!$C$8</f>
        <v>2</v>
      </c>
      <c r="N528" s="1097"/>
      <c r="O528" s="1097"/>
      <c r="P528" s="1097"/>
      <c r="Q528" s="1097"/>
      <c r="R528" s="1097">
        <f>+(M528/'Parametros Generales'!$C$9)</f>
        <v>0.5</v>
      </c>
      <c r="S528" s="390"/>
      <c r="T528" s="390"/>
      <c r="U528" s="390"/>
      <c r="V528" s="389"/>
      <c r="W528" s="32">
        <f>+R528*'Componentes T.H.'!$Q$9*'Parametros Generales'!$C$6</f>
        <v>2509253.5355000002</v>
      </c>
      <c r="X528" s="32">
        <f>(+VLOOKUP(C528,'Transporte y Viaticos'!$B$87:$L$120,2,0)*'Parametros Generales'!$C$7*R528)*(2/3)</f>
        <v>398218.07133057469</v>
      </c>
      <c r="Y528" s="417"/>
      <c r="Z528" s="417"/>
      <c r="AA528" s="417"/>
      <c r="AB528" s="417">
        <f>+M528*'Parametros Generales'!$C$6*'Parametros Generales'!$J$9</f>
        <v>973818.18181818211</v>
      </c>
      <c r="AC528" s="417">
        <f>+H528*'Parametros Generales'!$J$10*'Parametros Generales'!$C$6*'Parametros Generales'!$C$11</f>
        <v>3684624.6918504061</v>
      </c>
      <c r="AD528" s="417"/>
      <c r="AE528" s="417"/>
      <c r="AF528" s="417"/>
      <c r="AG528" s="417"/>
      <c r="AH528" s="417"/>
      <c r="AI528" s="417"/>
      <c r="AJ528" s="417"/>
      <c r="AK528" s="436"/>
      <c r="AL528" s="822"/>
    </row>
    <row r="529" spans="1:38" s="33" customFormat="1" hidden="1" outlineLevel="1">
      <c r="A529" s="1150"/>
      <c r="B529" s="821">
        <v>25</v>
      </c>
      <c r="C529" s="371" t="s">
        <v>348</v>
      </c>
      <c r="D529" s="31">
        <f>+VLOOKUP(E529,Codigos!$A$1:$B$1123,2,0)</f>
        <v>25377</v>
      </c>
      <c r="E529" s="1111" t="s">
        <v>1937</v>
      </c>
      <c r="F529" s="1103">
        <v>1</v>
      </c>
      <c r="G529" s="30">
        <v>198</v>
      </c>
      <c r="H529" s="1061">
        <f>CEILING(G529,'Parametros Generales'!$C$8)</f>
        <v>200</v>
      </c>
      <c r="I529" s="1057" t="s">
        <v>367</v>
      </c>
      <c r="J529" s="1058">
        <v>200</v>
      </c>
      <c r="K529" s="1070" t="str">
        <f t="shared" si="38"/>
        <v>Ok</v>
      </c>
      <c r="L529" s="1077">
        <f t="shared" si="39"/>
        <v>0</v>
      </c>
      <c r="M529" s="1090">
        <f>+H529/'Parametros Generales'!$C$8</f>
        <v>8</v>
      </c>
      <c r="N529" s="1097"/>
      <c r="O529" s="1097"/>
      <c r="P529" s="1097"/>
      <c r="Q529" s="1097"/>
      <c r="R529" s="1097">
        <f>+(M529/'Parametros Generales'!$C$9)</f>
        <v>2</v>
      </c>
      <c r="S529" s="390"/>
      <c r="T529" s="390"/>
      <c r="U529" s="390"/>
      <c r="V529" s="389"/>
      <c r="W529" s="32">
        <f>+R529*'Componentes T.H.'!$Q$9*'Parametros Generales'!$C$6</f>
        <v>10037014.142000001</v>
      </c>
      <c r="X529" s="32">
        <f>(+VLOOKUP(C529,'Transporte y Viaticos'!$B$87:$L$120,2,0)*'Parametros Generales'!$C$7*R529)*(2/3)</f>
        <v>1592872.2853222988</v>
      </c>
      <c r="Y529" s="417"/>
      <c r="Z529" s="417"/>
      <c r="AA529" s="417"/>
      <c r="AB529" s="417">
        <f>+M529*'Parametros Generales'!$C$6*'Parametros Generales'!$J$9</f>
        <v>3895272.7272727285</v>
      </c>
      <c r="AC529" s="417">
        <f>+H529*'Parametros Generales'!$J$10*'Parametros Generales'!$C$6*'Parametros Generales'!$C$11</f>
        <v>14738498.767401624</v>
      </c>
      <c r="AD529" s="417"/>
      <c r="AE529" s="417"/>
      <c r="AF529" s="417"/>
      <c r="AG529" s="417"/>
      <c r="AH529" s="417"/>
      <c r="AI529" s="417"/>
      <c r="AJ529" s="417"/>
      <c r="AK529" s="436"/>
      <c r="AL529" s="822"/>
    </row>
    <row r="530" spans="1:38" s="33" customFormat="1" hidden="1" outlineLevel="1">
      <c r="A530" s="1150"/>
      <c r="B530" s="821">
        <v>25</v>
      </c>
      <c r="C530" s="371" t="s">
        <v>348</v>
      </c>
      <c r="D530" s="31">
        <f>+VLOOKUP(E530,Codigos!$A$1:$B$1123,2,0)</f>
        <v>25386</v>
      </c>
      <c r="E530" s="1111" t="s">
        <v>1938</v>
      </c>
      <c r="F530" s="1103">
        <v>1</v>
      </c>
      <c r="G530" s="30">
        <v>198</v>
      </c>
      <c r="H530" s="1061">
        <f>CEILING((G530-100),'Parametros Generales'!$C$8)</f>
        <v>100</v>
      </c>
      <c r="I530" s="1057" t="s">
        <v>368</v>
      </c>
      <c r="J530" s="1058">
        <v>100</v>
      </c>
      <c r="K530" s="1070" t="str">
        <f t="shared" si="38"/>
        <v>Ok</v>
      </c>
      <c r="L530" s="1077">
        <f t="shared" si="39"/>
        <v>0</v>
      </c>
      <c r="M530" s="1090">
        <f>+H530/'Parametros Generales'!$C$8</f>
        <v>4</v>
      </c>
      <c r="N530" s="1097"/>
      <c r="O530" s="1097"/>
      <c r="P530" s="1097"/>
      <c r="Q530" s="1097"/>
      <c r="R530" s="1097">
        <f>+(M530/'Parametros Generales'!$C$9)</f>
        <v>1</v>
      </c>
      <c r="S530" s="390"/>
      <c r="T530" s="390"/>
      <c r="U530" s="390"/>
      <c r="V530" s="389"/>
      <c r="W530" s="32">
        <f>+R530*'Componentes T.H.'!$Q$9*'Parametros Generales'!$C$6</f>
        <v>5018507.0710000005</v>
      </c>
      <c r="X530" s="32">
        <f>(+VLOOKUP(C530,'Transporte y Viaticos'!$B$87:$L$120,2,0)*'Parametros Generales'!$C$7*R530)*(2/3)</f>
        <v>796436.14266114938</v>
      </c>
      <c r="Y530" s="417"/>
      <c r="Z530" s="417"/>
      <c r="AA530" s="417"/>
      <c r="AB530" s="417">
        <f>+M530*'Parametros Generales'!$C$6*'Parametros Generales'!$J$9</f>
        <v>1947636.3636363642</v>
      </c>
      <c r="AC530" s="417">
        <f>+H530*'Parametros Generales'!$J$10*'Parametros Generales'!$C$6*'Parametros Generales'!$C$11</f>
        <v>7369249.3837008122</v>
      </c>
      <c r="AD530" s="417"/>
      <c r="AE530" s="417"/>
      <c r="AF530" s="417"/>
      <c r="AG530" s="417"/>
      <c r="AH530" s="417"/>
      <c r="AI530" s="417"/>
      <c r="AJ530" s="417"/>
      <c r="AK530" s="436"/>
      <c r="AL530" s="822"/>
    </row>
    <row r="531" spans="1:38" s="33" customFormat="1" hidden="1" outlineLevel="1">
      <c r="A531" s="1150"/>
      <c r="B531" s="821">
        <v>25</v>
      </c>
      <c r="C531" s="371" t="s">
        <v>348</v>
      </c>
      <c r="D531" s="31">
        <f>+VLOOKUP(E531,Codigos!$A$1:$B$1123,2,0)</f>
        <v>25394</v>
      </c>
      <c r="E531" s="1111" t="s">
        <v>1939</v>
      </c>
      <c r="F531" s="1103">
        <v>1</v>
      </c>
      <c r="G531" s="30">
        <v>198</v>
      </c>
      <c r="H531" s="1061">
        <f>CEILING(G531,'Parametros Generales'!$C$8)</f>
        <v>200</v>
      </c>
      <c r="I531" s="1057" t="s">
        <v>369</v>
      </c>
      <c r="J531" s="1058">
        <v>200</v>
      </c>
      <c r="K531" s="1070" t="str">
        <f t="shared" si="38"/>
        <v>Ok</v>
      </c>
      <c r="L531" s="1077">
        <f t="shared" si="39"/>
        <v>0</v>
      </c>
      <c r="M531" s="1090">
        <f>+H531/'Parametros Generales'!$C$8</f>
        <v>8</v>
      </c>
      <c r="N531" s="1097"/>
      <c r="O531" s="1097"/>
      <c r="P531" s="1097"/>
      <c r="Q531" s="1097"/>
      <c r="R531" s="1097">
        <f>+(M531/'Parametros Generales'!$C$9)</f>
        <v>2</v>
      </c>
      <c r="S531" s="390"/>
      <c r="T531" s="390"/>
      <c r="U531" s="390"/>
      <c r="V531" s="389"/>
      <c r="W531" s="32">
        <f>+R531*'Componentes T.H.'!$Q$9*'Parametros Generales'!$C$6</f>
        <v>10037014.142000001</v>
      </c>
      <c r="X531" s="32">
        <f>(+VLOOKUP(C531,'Transporte y Viaticos'!$B$87:$L$120,2,0)*'Parametros Generales'!$C$7*R531)*(2/3)</f>
        <v>1592872.2853222988</v>
      </c>
      <c r="Y531" s="417"/>
      <c r="Z531" s="417"/>
      <c r="AA531" s="417"/>
      <c r="AB531" s="417">
        <f>+M531*'Parametros Generales'!$C$6*'Parametros Generales'!$J$9</f>
        <v>3895272.7272727285</v>
      </c>
      <c r="AC531" s="417">
        <f>+H531*'Parametros Generales'!$J$10*'Parametros Generales'!$C$6*'Parametros Generales'!$C$11</f>
        <v>14738498.767401624</v>
      </c>
      <c r="AD531" s="417"/>
      <c r="AE531" s="417"/>
      <c r="AF531" s="417"/>
      <c r="AG531" s="417"/>
      <c r="AH531" s="417"/>
      <c r="AI531" s="417"/>
      <c r="AJ531" s="417"/>
      <c r="AK531" s="436"/>
      <c r="AL531" s="822"/>
    </row>
    <row r="532" spans="1:38" s="33" customFormat="1" hidden="1" outlineLevel="1">
      <c r="A532" s="1150"/>
      <c r="B532" s="821">
        <v>25</v>
      </c>
      <c r="C532" s="371" t="s">
        <v>348</v>
      </c>
      <c r="D532" s="31" t="e">
        <f>+VLOOKUP(E532,Codigos!$A$1:$B$1123,2,0)</f>
        <v>#N/A</v>
      </c>
      <c r="E532" s="1111" t="s">
        <v>1940</v>
      </c>
      <c r="F532" s="1103">
        <v>1</v>
      </c>
      <c r="G532" s="30">
        <v>100</v>
      </c>
      <c r="H532" s="1061">
        <f>CEILING(G532,'Parametros Generales'!$C$8)</f>
        <v>100</v>
      </c>
      <c r="I532" s="1057" t="s">
        <v>2388</v>
      </c>
      <c r="J532" s="1058">
        <v>100</v>
      </c>
      <c r="K532" s="1070" t="str">
        <f t="shared" si="38"/>
        <v>Ok</v>
      </c>
      <c r="L532" s="1077">
        <f t="shared" si="39"/>
        <v>0</v>
      </c>
      <c r="M532" s="1090">
        <f>+H532/'Parametros Generales'!$C$8</f>
        <v>4</v>
      </c>
      <c r="N532" s="1097"/>
      <c r="O532" s="1097"/>
      <c r="P532" s="1097"/>
      <c r="Q532" s="1097"/>
      <c r="R532" s="1097">
        <f>+(M532/'Parametros Generales'!$C$9)</f>
        <v>1</v>
      </c>
      <c r="S532" s="390"/>
      <c r="T532" s="390"/>
      <c r="U532" s="390"/>
      <c r="V532" s="389"/>
      <c r="W532" s="32">
        <f>+R532*'Componentes T.H.'!$Q$9*'Parametros Generales'!$C$6</f>
        <v>5018507.0710000005</v>
      </c>
      <c r="X532" s="32">
        <f>(+VLOOKUP(C532,'Transporte y Viaticos'!$B$87:$L$120,2,0)*'Parametros Generales'!$C$7*R532)*(2/3)</f>
        <v>796436.14266114938</v>
      </c>
      <c r="Y532" s="417"/>
      <c r="Z532" s="417"/>
      <c r="AA532" s="417"/>
      <c r="AB532" s="417">
        <f>+M532*'Parametros Generales'!$C$6*'Parametros Generales'!$J$9</f>
        <v>1947636.3636363642</v>
      </c>
      <c r="AC532" s="417">
        <f>+H532*'Parametros Generales'!$J$10*'Parametros Generales'!$C$6*'Parametros Generales'!$C$11</f>
        <v>7369249.3837008122</v>
      </c>
      <c r="AD532" s="417"/>
      <c r="AE532" s="417"/>
      <c r="AF532" s="417"/>
      <c r="AG532" s="417"/>
      <c r="AH532" s="417"/>
      <c r="AI532" s="417"/>
      <c r="AJ532" s="417"/>
      <c r="AK532" s="436"/>
      <c r="AL532" s="822"/>
    </row>
    <row r="533" spans="1:38" s="33" customFormat="1" hidden="1" outlineLevel="1">
      <c r="A533" s="1150"/>
      <c r="B533" s="821">
        <v>25</v>
      </c>
      <c r="C533" s="371" t="s">
        <v>348</v>
      </c>
      <c r="D533" s="31">
        <f>+VLOOKUP(E533,Codigos!$A$1:$B$1123,2,0)</f>
        <v>25407</v>
      </c>
      <c r="E533" s="1111" t="s">
        <v>958</v>
      </c>
      <c r="F533" s="1103">
        <v>1</v>
      </c>
      <c r="G533" s="1056">
        <v>0</v>
      </c>
      <c r="H533" s="1061">
        <v>50</v>
      </c>
      <c r="I533" s="1057" t="s">
        <v>958</v>
      </c>
      <c r="J533" s="1058">
        <v>50</v>
      </c>
      <c r="K533" s="1070" t="str">
        <f t="shared" si="38"/>
        <v>Ok</v>
      </c>
      <c r="L533" s="1077">
        <f t="shared" si="39"/>
        <v>0</v>
      </c>
      <c r="M533" s="1090">
        <f>+H533/'Parametros Generales'!$C$8</f>
        <v>2</v>
      </c>
      <c r="N533" s="1097"/>
      <c r="O533" s="1097"/>
      <c r="P533" s="1097"/>
      <c r="Q533" s="1097"/>
      <c r="R533" s="1097">
        <f>+(M533/'Parametros Generales'!$C$9)</f>
        <v>0.5</v>
      </c>
      <c r="S533" s="390"/>
      <c r="T533" s="390"/>
      <c r="U533" s="390"/>
      <c r="V533" s="389"/>
      <c r="W533" s="32">
        <f>+R533*'Componentes T.H.'!$Q$9*'Parametros Generales'!$C$6</f>
        <v>2509253.5355000002</v>
      </c>
      <c r="X533" s="32">
        <f>(+VLOOKUP(C533,'Transporte y Viaticos'!$B$87:$L$120,2,0)*'Parametros Generales'!$C$7*R533)*(2/3)</f>
        <v>398218.07133057469</v>
      </c>
      <c r="Y533" s="417"/>
      <c r="Z533" s="417"/>
      <c r="AA533" s="417"/>
      <c r="AB533" s="417">
        <f>+M533*'Parametros Generales'!$C$6*'Parametros Generales'!$J$9</f>
        <v>973818.18181818211</v>
      </c>
      <c r="AC533" s="417">
        <f>+H533*'Parametros Generales'!$J$10*'Parametros Generales'!$C$6*'Parametros Generales'!$C$11</f>
        <v>3684624.6918504061</v>
      </c>
      <c r="AD533" s="417"/>
      <c r="AE533" s="417"/>
      <c r="AF533" s="417"/>
      <c r="AG533" s="417"/>
      <c r="AH533" s="417"/>
      <c r="AI533" s="417"/>
      <c r="AJ533" s="417"/>
      <c r="AK533" s="436"/>
      <c r="AL533" s="822"/>
    </row>
    <row r="534" spans="1:38" s="33" customFormat="1" hidden="1" outlineLevel="1">
      <c r="A534" s="1150"/>
      <c r="B534" s="821">
        <v>25</v>
      </c>
      <c r="C534" s="371" t="s">
        <v>348</v>
      </c>
      <c r="D534" s="31">
        <f>+VLOOKUP(E534,Codigos!$A$1:$B$1123,2,0)</f>
        <v>25430</v>
      </c>
      <c r="E534" s="1111" t="s">
        <v>1941</v>
      </c>
      <c r="F534" s="1103">
        <v>1</v>
      </c>
      <c r="G534" s="30">
        <v>198</v>
      </c>
      <c r="H534" s="1061">
        <f>CEILING((G534-50),'Parametros Generales'!$C$8)</f>
        <v>150</v>
      </c>
      <c r="I534" s="1057" t="s">
        <v>370</v>
      </c>
      <c r="J534" s="1058">
        <v>150</v>
      </c>
      <c r="K534" s="1070" t="str">
        <f t="shared" si="38"/>
        <v>Ok</v>
      </c>
      <c r="L534" s="1077">
        <f t="shared" si="39"/>
        <v>0</v>
      </c>
      <c r="M534" s="1090">
        <f>+H534/'Parametros Generales'!$C$8</f>
        <v>6</v>
      </c>
      <c r="N534" s="1097"/>
      <c r="O534" s="1097"/>
      <c r="P534" s="1097"/>
      <c r="Q534" s="1097"/>
      <c r="R534" s="1097">
        <f>+(M534/'Parametros Generales'!$C$9)</f>
        <v>1.5</v>
      </c>
      <c r="S534" s="390"/>
      <c r="T534" s="390"/>
      <c r="U534" s="390"/>
      <c r="V534" s="389"/>
      <c r="W534" s="32">
        <f>+R534*'Componentes T.H.'!$Q$9*'Parametros Generales'!$C$6</f>
        <v>7527760.6064999998</v>
      </c>
      <c r="X534" s="32">
        <f>(+VLOOKUP(C534,'Transporte y Viaticos'!$B$87:$L$120,2,0)*'Parametros Generales'!$C$7*R534)*(2/3)</f>
        <v>1194654.2139917242</v>
      </c>
      <c r="Y534" s="417"/>
      <c r="Z534" s="417"/>
      <c r="AA534" s="417"/>
      <c r="AB534" s="417">
        <f>+M534*'Parametros Generales'!$C$6*'Parametros Generales'!$J$9</f>
        <v>2921454.5454545463</v>
      </c>
      <c r="AC534" s="417">
        <f>+H534*'Parametros Generales'!$J$10*'Parametros Generales'!$C$6*'Parametros Generales'!$C$11</f>
        <v>11053874.075551221</v>
      </c>
      <c r="AD534" s="417"/>
      <c r="AE534" s="417"/>
      <c r="AF534" s="417"/>
      <c r="AG534" s="417"/>
      <c r="AH534" s="417"/>
      <c r="AI534" s="417"/>
      <c r="AJ534" s="417"/>
      <c r="AK534" s="436"/>
      <c r="AL534" s="822"/>
    </row>
    <row r="535" spans="1:38" s="33" customFormat="1" hidden="1" outlineLevel="1">
      <c r="A535" s="1150"/>
      <c r="B535" s="821">
        <v>25</v>
      </c>
      <c r="C535" s="371" t="s">
        <v>348</v>
      </c>
      <c r="D535" s="31">
        <f>+VLOOKUP(E535,Codigos!$A$1:$B$1123,2,0)</f>
        <v>25473</v>
      </c>
      <c r="E535" s="1111" t="s">
        <v>1942</v>
      </c>
      <c r="F535" s="1103">
        <v>1</v>
      </c>
      <c r="G535" s="30">
        <v>198</v>
      </c>
      <c r="H535" s="1061">
        <f>CEILING(G535,'Parametros Generales'!$C$8)</f>
        <v>200</v>
      </c>
      <c r="I535" s="1057" t="s">
        <v>371</v>
      </c>
      <c r="J535" s="1058">
        <v>200</v>
      </c>
      <c r="K535" s="1070" t="str">
        <f t="shared" si="38"/>
        <v>Ok</v>
      </c>
      <c r="L535" s="1077">
        <f t="shared" si="39"/>
        <v>0</v>
      </c>
      <c r="M535" s="1090">
        <f>+H535/'Parametros Generales'!$C$8</f>
        <v>8</v>
      </c>
      <c r="N535" s="1097"/>
      <c r="O535" s="1097"/>
      <c r="P535" s="1097"/>
      <c r="Q535" s="1097"/>
      <c r="R535" s="1097">
        <f>+(M535/'Parametros Generales'!$C$9)</f>
        <v>2</v>
      </c>
      <c r="S535" s="390"/>
      <c r="T535" s="390"/>
      <c r="U535" s="390"/>
      <c r="V535" s="389"/>
      <c r="W535" s="32">
        <f>+R535*'Componentes T.H.'!$Q$9*'Parametros Generales'!$C$6</f>
        <v>10037014.142000001</v>
      </c>
      <c r="X535" s="32">
        <f>(+VLOOKUP(C535,'Transporte y Viaticos'!$B$87:$L$120,2,0)*'Parametros Generales'!$C$7*R535)*(2/3)</f>
        <v>1592872.2853222988</v>
      </c>
      <c r="Y535" s="417"/>
      <c r="Z535" s="417"/>
      <c r="AA535" s="417"/>
      <c r="AB535" s="417">
        <f>+M535*'Parametros Generales'!$C$6*'Parametros Generales'!$J$9</f>
        <v>3895272.7272727285</v>
      </c>
      <c r="AC535" s="417">
        <f>+H535*'Parametros Generales'!$J$10*'Parametros Generales'!$C$6*'Parametros Generales'!$C$11</f>
        <v>14738498.767401624</v>
      </c>
      <c r="AD535" s="417"/>
      <c r="AE535" s="417"/>
      <c r="AF535" s="417"/>
      <c r="AG535" s="417"/>
      <c r="AH535" s="417"/>
      <c r="AI535" s="417"/>
      <c r="AJ535" s="417"/>
      <c r="AK535" s="436"/>
      <c r="AL535" s="822"/>
    </row>
    <row r="536" spans="1:38" s="33" customFormat="1" hidden="1" outlineLevel="1">
      <c r="A536" s="1150"/>
      <c r="B536" s="821">
        <v>25</v>
      </c>
      <c r="C536" s="371" t="s">
        <v>348</v>
      </c>
      <c r="D536" s="31">
        <f>+VLOOKUP(E536,Codigos!$A$1:$B$1123,2,0)</f>
        <v>25513</v>
      </c>
      <c r="E536" s="1111" t="s">
        <v>1943</v>
      </c>
      <c r="F536" s="1103">
        <v>1</v>
      </c>
      <c r="G536" s="30">
        <v>198</v>
      </c>
      <c r="H536" s="1061">
        <f>CEILING((G536-100),'Parametros Generales'!$C$8)</f>
        <v>100</v>
      </c>
      <c r="I536" s="1057" t="s">
        <v>372</v>
      </c>
      <c r="J536" s="1058">
        <v>100</v>
      </c>
      <c r="K536" s="1070" t="str">
        <f t="shared" si="38"/>
        <v>Ok</v>
      </c>
      <c r="L536" s="1077">
        <f t="shared" si="39"/>
        <v>0</v>
      </c>
      <c r="M536" s="1090">
        <f>+H536/'Parametros Generales'!$C$8</f>
        <v>4</v>
      </c>
      <c r="N536" s="1097"/>
      <c r="O536" s="1097"/>
      <c r="P536" s="1097"/>
      <c r="Q536" s="1097"/>
      <c r="R536" s="1097">
        <f>+(M536/'Parametros Generales'!$C$9)</f>
        <v>1</v>
      </c>
      <c r="S536" s="390"/>
      <c r="T536" s="390"/>
      <c r="U536" s="390"/>
      <c r="V536" s="389"/>
      <c r="W536" s="32">
        <f>+R536*'Componentes T.H.'!$Q$9*'Parametros Generales'!$C$6</f>
        <v>5018507.0710000005</v>
      </c>
      <c r="X536" s="32">
        <f>(+VLOOKUP(C536,'Transporte y Viaticos'!$B$87:$L$120,2,0)*'Parametros Generales'!$C$7*R536)*(2/3)</f>
        <v>796436.14266114938</v>
      </c>
      <c r="Y536" s="417"/>
      <c r="Z536" s="417"/>
      <c r="AA536" s="417"/>
      <c r="AB536" s="417">
        <f>+M536*'Parametros Generales'!$C$6*'Parametros Generales'!$J$9</f>
        <v>1947636.3636363642</v>
      </c>
      <c r="AC536" s="417">
        <f>+H536*'Parametros Generales'!$J$10*'Parametros Generales'!$C$6*'Parametros Generales'!$C$11</f>
        <v>7369249.3837008122</v>
      </c>
      <c r="AD536" s="417"/>
      <c r="AE536" s="417"/>
      <c r="AF536" s="417"/>
      <c r="AG536" s="417"/>
      <c r="AH536" s="417"/>
      <c r="AI536" s="417"/>
      <c r="AJ536" s="417"/>
      <c r="AK536" s="436"/>
      <c r="AL536" s="822"/>
    </row>
    <row r="537" spans="1:38" s="33" customFormat="1" hidden="1" outlineLevel="1">
      <c r="A537" s="1150"/>
      <c r="B537" s="821">
        <v>25</v>
      </c>
      <c r="C537" s="371" t="s">
        <v>348</v>
      </c>
      <c r="D537" s="31">
        <f>+VLOOKUP(E537,Codigos!$A$1:$B$1123,2,0)</f>
        <v>25535</v>
      </c>
      <c r="E537" s="1111" t="s">
        <v>1944</v>
      </c>
      <c r="F537" s="1103">
        <v>1</v>
      </c>
      <c r="G537" s="30">
        <v>198</v>
      </c>
      <c r="H537" s="1061">
        <f>CEILING((G537-100-50),'Parametros Generales'!$C$8)</f>
        <v>50</v>
      </c>
      <c r="I537" s="1057" t="s">
        <v>373</v>
      </c>
      <c r="J537" s="1058">
        <v>50</v>
      </c>
      <c r="K537" s="1070" t="str">
        <f t="shared" si="38"/>
        <v>Ok</v>
      </c>
      <c r="L537" s="1077">
        <f t="shared" si="39"/>
        <v>0</v>
      </c>
      <c r="M537" s="1090">
        <f>+H537/'Parametros Generales'!$C$8</f>
        <v>2</v>
      </c>
      <c r="N537" s="1097"/>
      <c r="O537" s="1097"/>
      <c r="P537" s="1097"/>
      <c r="Q537" s="1097"/>
      <c r="R537" s="1097">
        <f>+(M537/'Parametros Generales'!$C$9)</f>
        <v>0.5</v>
      </c>
      <c r="S537" s="390"/>
      <c r="T537" s="390"/>
      <c r="U537" s="390"/>
      <c r="V537" s="389"/>
      <c r="W537" s="32">
        <f>+R537*'Componentes T.H.'!$Q$9*'Parametros Generales'!$C$6</f>
        <v>2509253.5355000002</v>
      </c>
      <c r="X537" s="32">
        <f>(+VLOOKUP(C537,'Transporte y Viaticos'!$B$87:$L$120,2,0)*'Parametros Generales'!$C$7*R537)*(2/3)</f>
        <v>398218.07133057469</v>
      </c>
      <c r="Y537" s="417"/>
      <c r="Z537" s="417"/>
      <c r="AA537" s="417"/>
      <c r="AB537" s="417">
        <f>+M537*'Parametros Generales'!$C$6*'Parametros Generales'!$J$9</f>
        <v>973818.18181818211</v>
      </c>
      <c r="AC537" s="417">
        <f>+H537*'Parametros Generales'!$J$10*'Parametros Generales'!$C$6*'Parametros Generales'!$C$11</f>
        <v>3684624.6918504061</v>
      </c>
      <c r="AD537" s="417"/>
      <c r="AE537" s="417"/>
      <c r="AF537" s="417"/>
      <c r="AG537" s="417"/>
      <c r="AH537" s="417"/>
      <c r="AI537" s="417"/>
      <c r="AJ537" s="417"/>
      <c r="AK537" s="436"/>
      <c r="AL537" s="822"/>
    </row>
    <row r="538" spans="1:38" s="33" customFormat="1" hidden="1" outlineLevel="1">
      <c r="A538" s="1150"/>
      <c r="B538" s="821">
        <v>25</v>
      </c>
      <c r="C538" s="371" t="s">
        <v>348</v>
      </c>
      <c r="D538" s="31">
        <f>+VLOOKUP(E538,Codigos!$A$1:$B$1123,2,0)</f>
        <v>25572</v>
      </c>
      <c r="E538" s="1111" t="s">
        <v>1945</v>
      </c>
      <c r="F538" s="1103">
        <v>1</v>
      </c>
      <c r="G538" s="30">
        <v>198</v>
      </c>
      <c r="H538" s="1061">
        <f>CEILING(G538,'Parametros Generales'!$C$8)</f>
        <v>200</v>
      </c>
      <c r="I538" s="1057" t="s">
        <v>374</v>
      </c>
      <c r="J538" s="1058">
        <v>200</v>
      </c>
      <c r="K538" s="1070" t="str">
        <f t="shared" si="38"/>
        <v>Ok</v>
      </c>
      <c r="L538" s="1077">
        <f t="shared" si="39"/>
        <v>0</v>
      </c>
      <c r="M538" s="1090">
        <f>+H538/'Parametros Generales'!$C$8</f>
        <v>8</v>
      </c>
      <c r="N538" s="1097"/>
      <c r="O538" s="1097"/>
      <c r="P538" s="1097"/>
      <c r="Q538" s="1097"/>
      <c r="R538" s="1097">
        <f>+(M538/'Parametros Generales'!$C$9)</f>
        <v>2</v>
      </c>
      <c r="S538" s="390"/>
      <c r="T538" s="390"/>
      <c r="U538" s="390"/>
      <c r="V538" s="389"/>
      <c r="W538" s="32">
        <f>+R538*'Componentes T.H.'!$Q$9*'Parametros Generales'!$C$6</f>
        <v>10037014.142000001</v>
      </c>
      <c r="X538" s="32">
        <f>(+VLOOKUP(C538,'Transporte y Viaticos'!$B$87:$L$120,2,0)*'Parametros Generales'!$C$7*R538)*(2/3)</f>
        <v>1592872.2853222988</v>
      </c>
      <c r="Y538" s="417"/>
      <c r="Z538" s="417"/>
      <c r="AA538" s="417"/>
      <c r="AB538" s="417">
        <f>+M538*'Parametros Generales'!$C$6*'Parametros Generales'!$J$9</f>
        <v>3895272.7272727285</v>
      </c>
      <c r="AC538" s="417">
        <f>+H538*'Parametros Generales'!$J$10*'Parametros Generales'!$C$6*'Parametros Generales'!$C$11</f>
        <v>14738498.767401624</v>
      </c>
      <c r="AD538" s="417"/>
      <c r="AE538" s="417"/>
      <c r="AF538" s="417"/>
      <c r="AG538" s="417"/>
      <c r="AH538" s="417"/>
      <c r="AI538" s="417"/>
      <c r="AJ538" s="417"/>
      <c r="AK538" s="436"/>
      <c r="AL538" s="822"/>
    </row>
    <row r="539" spans="1:38" s="33" customFormat="1" hidden="1" outlineLevel="1">
      <c r="A539" s="1150"/>
      <c r="B539" s="821">
        <v>25</v>
      </c>
      <c r="C539" s="371" t="s">
        <v>348</v>
      </c>
      <c r="D539" s="31">
        <f>+VLOOKUP(E539,Codigos!$A$1:$B$1123,2,0)</f>
        <v>25596</v>
      </c>
      <c r="E539" s="1118" t="s">
        <v>972</v>
      </c>
      <c r="F539" s="1103">
        <v>1</v>
      </c>
      <c r="G539" s="30">
        <v>0</v>
      </c>
      <c r="H539" s="1061">
        <v>50</v>
      </c>
      <c r="I539" s="1057" t="s">
        <v>972</v>
      </c>
      <c r="J539" s="1058">
        <v>50</v>
      </c>
      <c r="K539" s="1070" t="str">
        <f t="shared" si="38"/>
        <v>Ok</v>
      </c>
      <c r="L539" s="1077">
        <f t="shared" si="39"/>
        <v>0</v>
      </c>
      <c r="M539" s="1090">
        <f>+H539/'Parametros Generales'!$C$8</f>
        <v>2</v>
      </c>
      <c r="N539" s="1097"/>
      <c r="O539" s="1097"/>
      <c r="P539" s="1097"/>
      <c r="Q539" s="1097"/>
      <c r="R539" s="1097">
        <f>+(M539/'Parametros Generales'!$C$9)</f>
        <v>0.5</v>
      </c>
      <c r="S539" s="390"/>
      <c r="T539" s="390"/>
      <c r="U539" s="390"/>
      <c r="V539" s="389"/>
      <c r="W539" s="32">
        <f>+R539*'Componentes T.H.'!$Q$9*'Parametros Generales'!$C$6</f>
        <v>2509253.5355000002</v>
      </c>
      <c r="X539" s="32">
        <f>(+VLOOKUP(C539,'Transporte y Viaticos'!$B$87:$L$120,2,0)*'Parametros Generales'!$C$7*R539)*(2/3)</f>
        <v>398218.07133057469</v>
      </c>
      <c r="Y539" s="417"/>
      <c r="Z539" s="417"/>
      <c r="AA539" s="417"/>
      <c r="AB539" s="417">
        <f>+M539*'Parametros Generales'!$C$6*'Parametros Generales'!$J$9</f>
        <v>973818.18181818211</v>
      </c>
      <c r="AC539" s="417">
        <f>+H539*'Parametros Generales'!$J$10*'Parametros Generales'!$C$6*'Parametros Generales'!$C$11</f>
        <v>3684624.6918504061</v>
      </c>
      <c r="AD539" s="417"/>
      <c r="AE539" s="417"/>
      <c r="AF539" s="417"/>
      <c r="AG539" s="417"/>
      <c r="AH539" s="417"/>
      <c r="AI539" s="417"/>
      <c r="AJ539" s="417"/>
      <c r="AK539" s="436"/>
      <c r="AL539" s="822"/>
    </row>
    <row r="540" spans="1:38" s="33" customFormat="1" hidden="1" outlineLevel="1">
      <c r="A540" s="1150"/>
      <c r="B540" s="821">
        <v>25</v>
      </c>
      <c r="C540" s="371" t="s">
        <v>348</v>
      </c>
      <c r="D540" s="31">
        <f>+VLOOKUP(E540,Codigos!$A$1:$B$1123,2,0)</f>
        <v>25645</v>
      </c>
      <c r="E540" s="1119" t="s">
        <v>974</v>
      </c>
      <c r="F540" s="1103">
        <v>1</v>
      </c>
      <c r="G540" s="30">
        <v>0</v>
      </c>
      <c r="H540" s="1061">
        <v>50</v>
      </c>
      <c r="I540" s="1057" t="s">
        <v>974</v>
      </c>
      <c r="J540" s="1058">
        <v>50</v>
      </c>
      <c r="K540" s="1070" t="str">
        <f t="shared" si="38"/>
        <v>Ok</v>
      </c>
      <c r="L540" s="1077">
        <f t="shared" si="39"/>
        <v>0</v>
      </c>
      <c r="M540" s="1090">
        <f>+H540/'Parametros Generales'!$C$8</f>
        <v>2</v>
      </c>
      <c r="N540" s="1097"/>
      <c r="O540" s="1097"/>
      <c r="P540" s="1097"/>
      <c r="Q540" s="1097"/>
      <c r="R540" s="1097">
        <f>+(M540/'Parametros Generales'!$C$9)</f>
        <v>0.5</v>
      </c>
      <c r="S540" s="390"/>
      <c r="T540" s="390"/>
      <c r="U540" s="390"/>
      <c r="V540" s="389"/>
      <c r="W540" s="32">
        <f>+R540*'Componentes T.H.'!$Q$9*'Parametros Generales'!$C$6</f>
        <v>2509253.5355000002</v>
      </c>
      <c r="X540" s="32">
        <f>(+VLOOKUP(C540,'Transporte y Viaticos'!$B$87:$L$120,2,0)*'Parametros Generales'!$C$7*R540)*(2/3)</f>
        <v>398218.07133057469</v>
      </c>
      <c r="Y540" s="417"/>
      <c r="Z540" s="417"/>
      <c r="AA540" s="417"/>
      <c r="AB540" s="417">
        <f>+M540*'Parametros Generales'!$C$6*'Parametros Generales'!$J$9</f>
        <v>973818.18181818211</v>
      </c>
      <c r="AC540" s="417">
        <f>+H540*'Parametros Generales'!$J$10*'Parametros Generales'!$C$6*'Parametros Generales'!$C$11</f>
        <v>3684624.6918504061</v>
      </c>
      <c r="AD540" s="417"/>
      <c r="AE540" s="417"/>
      <c r="AF540" s="417"/>
      <c r="AG540" s="417"/>
      <c r="AH540" s="417"/>
      <c r="AI540" s="417"/>
      <c r="AJ540" s="417"/>
      <c r="AK540" s="436"/>
      <c r="AL540" s="822"/>
    </row>
    <row r="541" spans="1:38" s="33" customFormat="1" hidden="1" outlineLevel="1">
      <c r="A541" s="1150"/>
      <c r="B541" s="821">
        <v>25</v>
      </c>
      <c r="C541" s="371" t="s">
        <v>348</v>
      </c>
      <c r="D541" s="31">
        <f>+VLOOKUP(E541,Codigos!$A$1:$B$1123,2,0)</f>
        <v>25649</v>
      </c>
      <c r="E541" s="1119" t="s">
        <v>2389</v>
      </c>
      <c r="F541" s="1103">
        <v>1</v>
      </c>
      <c r="G541" s="30">
        <v>0</v>
      </c>
      <c r="H541" s="1061">
        <v>100</v>
      </c>
      <c r="I541" s="1057" t="s">
        <v>2389</v>
      </c>
      <c r="J541" s="1058">
        <v>100</v>
      </c>
      <c r="K541" s="1070" t="str">
        <f t="shared" si="38"/>
        <v>Ok</v>
      </c>
      <c r="L541" s="1077">
        <f t="shared" si="39"/>
        <v>0</v>
      </c>
      <c r="M541" s="1090">
        <f>+H541/'Parametros Generales'!$C$8</f>
        <v>4</v>
      </c>
      <c r="N541" s="1097"/>
      <c r="O541" s="1097"/>
      <c r="P541" s="1097"/>
      <c r="Q541" s="1097"/>
      <c r="R541" s="1097">
        <f>+(M541/'Parametros Generales'!$C$9)</f>
        <v>1</v>
      </c>
      <c r="S541" s="390"/>
      <c r="T541" s="390"/>
      <c r="U541" s="390"/>
      <c r="V541" s="389"/>
      <c r="W541" s="32">
        <f>+R541*'Componentes T.H.'!$Q$9*'Parametros Generales'!$C$6</f>
        <v>5018507.0710000005</v>
      </c>
      <c r="X541" s="32">
        <f>(+VLOOKUP(C541,'Transporte y Viaticos'!$B$87:$L$120,2,0)*'Parametros Generales'!$C$7*R541)*(2/3)</f>
        <v>796436.14266114938</v>
      </c>
      <c r="Y541" s="417"/>
      <c r="Z541" s="417"/>
      <c r="AA541" s="417"/>
      <c r="AB541" s="417">
        <f>+M541*'Parametros Generales'!$C$6*'Parametros Generales'!$J$9</f>
        <v>1947636.3636363642</v>
      </c>
      <c r="AC541" s="417">
        <f>+H541*'Parametros Generales'!$J$10*'Parametros Generales'!$C$6*'Parametros Generales'!$C$11</f>
        <v>7369249.3837008122</v>
      </c>
      <c r="AD541" s="417"/>
      <c r="AE541" s="417"/>
      <c r="AF541" s="417"/>
      <c r="AG541" s="417"/>
      <c r="AH541" s="417"/>
      <c r="AI541" s="417"/>
      <c r="AJ541" s="417"/>
      <c r="AK541" s="436"/>
      <c r="AL541" s="822"/>
    </row>
    <row r="542" spans="1:38" s="33" customFormat="1" hidden="1" outlineLevel="1">
      <c r="A542" s="1150"/>
      <c r="B542" s="821">
        <v>25</v>
      </c>
      <c r="C542" s="371" t="s">
        <v>348</v>
      </c>
      <c r="D542" s="31">
        <f>+VLOOKUP(E542,Codigos!$A$1:$B$1123,2,0)</f>
        <v>25658</v>
      </c>
      <c r="E542" s="1111" t="s">
        <v>1946</v>
      </c>
      <c r="F542" s="1103">
        <v>1</v>
      </c>
      <c r="G542" s="30">
        <v>198</v>
      </c>
      <c r="H542" s="1061">
        <f>CEILING(G542,'Parametros Generales'!$C$8)</f>
        <v>200</v>
      </c>
      <c r="I542" s="1057" t="s">
        <v>375</v>
      </c>
      <c r="J542" s="1058">
        <v>200</v>
      </c>
      <c r="K542" s="1070" t="str">
        <f t="shared" si="38"/>
        <v>Ok</v>
      </c>
      <c r="L542" s="1077">
        <f t="shared" si="39"/>
        <v>0</v>
      </c>
      <c r="M542" s="1090">
        <f>+H542/'Parametros Generales'!$C$8</f>
        <v>8</v>
      </c>
      <c r="N542" s="1097"/>
      <c r="O542" s="1097"/>
      <c r="P542" s="1097"/>
      <c r="Q542" s="1097"/>
      <c r="R542" s="1097">
        <f>+(M542/'Parametros Generales'!$C$9)</f>
        <v>2</v>
      </c>
      <c r="S542" s="390"/>
      <c r="T542" s="390"/>
      <c r="U542" s="390"/>
      <c r="V542" s="389"/>
      <c r="W542" s="32">
        <f>+R542*'Componentes T.H.'!$Q$9*'Parametros Generales'!$C$6</f>
        <v>10037014.142000001</v>
      </c>
      <c r="X542" s="32">
        <f>(+VLOOKUP(C542,'Transporte y Viaticos'!$B$87:$L$120,2,0)*'Parametros Generales'!$C$7*R542)*(2/3)</f>
        <v>1592872.2853222988</v>
      </c>
      <c r="Y542" s="417"/>
      <c r="Z542" s="417"/>
      <c r="AA542" s="417"/>
      <c r="AB542" s="417">
        <f>+M542*'Parametros Generales'!$C$6*'Parametros Generales'!$J$9</f>
        <v>3895272.7272727285</v>
      </c>
      <c r="AC542" s="417">
        <f>+H542*'Parametros Generales'!$J$10*'Parametros Generales'!$C$6*'Parametros Generales'!$C$11</f>
        <v>14738498.767401624</v>
      </c>
      <c r="AD542" s="417"/>
      <c r="AE542" s="417"/>
      <c r="AF542" s="417"/>
      <c r="AG542" s="417"/>
      <c r="AH542" s="417"/>
      <c r="AI542" s="417"/>
      <c r="AJ542" s="417"/>
      <c r="AK542" s="436"/>
      <c r="AL542" s="822"/>
    </row>
    <row r="543" spans="1:38" s="33" customFormat="1" hidden="1" outlineLevel="1">
      <c r="A543" s="1150"/>
      <c r="B543" s="821">
        <v>25</v>
      </c>
      <c r="C543" s="371" t="s">
        <v>348</v>
      </c>
      <c r="D543" s="31">
        <f>+VLOOKUP(E543,Codigos!$A$1:$B$1123,2,0)</f>
        <v>25662</v>
      </c>
      <c r="E543" s="1111" t="s">
        <v>1947</v>
      </c>
      <c r="F543" s="1103">
        <v>1</v>
      </c>
      <c r="G543" s="30">
        <v>198</v>
      </c>
      <c r="H543" s="1061">
        <f>CEILING((G543-50),'Parametros Generales'!$C$8)</f>
        <v>150</v>
      </c>
      <c r="I543" s="1057" t="s">
        <v>376</v>
      </c>
      <c r="J543" s="1058">
        <v>150</v>
      </c>
      <c r="K543" s="1070" t="str">
        <f t="shared" si="38"/>
        <v>Ok</v>
      </c>
      <c r="L543" s="1077">
        <f t="shared" si="39"/>
        <v>0</v>
      </c>
      <c r="M543" s="1090">
        <f>+H543/'Parametros Generales'!$C$8</f>
        <v>6</v>
      </c>
      <c r="N543" s="1097"/>
      <c r="O543" s="1097"/>
      <c r="P543" s="1097"/>
      <c r="Q543" s="1097"/>
      <c r="R543" s="1097">
        <f>+(M543/'Parametros Generales'!$C$9)</f>
        <v>1.5</v>
      </c>
      <c r="S543" s="390"/>
      <c r="T543" s="390"/>
      <c r="U543" s="390"/>
      <c r="V543" s="389"/>
      <c r="W543" s="32">
        <f>+R543*'Componentes T.H.'!$Q$9*'Parametros Generales'!$C$6</f>
        <v>7527760.6064999998</v>
      </c>
      <c r="X543" s="32">
        <f>(+VLOOKUP(C543,'Transporte y Viaticos'!$B$87:$L$120,2,0)*'Parametros Generales'!$C$7*R543)*(2/3)</f>
        <v>1194654.2139917242</v>
      </c>
      <c r="Y543" s="417"/>
      <c r="Z543" s="417"/>
      <c r="AA543" s="417"/>
      <c r="AB543" s="417">
        <f>+M543*'Parametros Generales'!$C$6*'Parametros Generales'!$J$9</f>
        <v>2921454.5454545463</v>
      </c>
      <c r="AC543" s="417">
        <f>+H543*'Parametros Generales'!$J$10*'Parametros Generales'!$C$6*'Parametros Generales'!$C$11</f>
        <v>11053874.075551221</v>
      </c>
      <c r="AD543" s="417"/>
      <c r="AE543" s="417"/>
      <c r="AF543" s="417"/>
      <c r="AG543" s="417"/>
      <c r="AH543" s="417"/>
      <c r="AI543" s="417"/>
      <c r="AJ543" s="417"/>
      <c r="AK543" s="436"/>
      <c r="AL543" s="822"/>
    </row>
    <row r="544" spans="1:38" s="33" customFormat="1" hidden="1" outlineLevel="1">
      <c r="A544" s="1150"/>
      <c r="B544" s="821"/>
      <c r="C544" s="371" t="str">
        <f>+C543</f>
        <v>CUNDINAMARCA</v>
      </c>
      <c r="D544" s="31">
        <f>+VLOOKUP(E544,Codigos!$A$1:$B$1123,2,0)</f>
        <v>25736</v>
      </c>
      <c r="E544" s="1111" t="s">
        <v>978</v>
      </c>
      <c r="F544" s="1103">
        <v>1</v>
      </c>
      <c r="G544" s="30">
        <v>0</v>
      </c>
      <c r="H544" s="1061">
        <v>100</v>
      </c>
      <c r="I544" s="1057" t="s">
        <v>978</v>
      </c>
      <c r="J544" s="1058">
        <v>100</v>
      </c>
      <c r="K544" s="1070" t="str">
        <f t="shared" si="38"/>
        <v>Ok</v>
      </c>
      <c r="L544" s="1077">
        <f t="shared" si="39"/>
        <v>0</v>
      </c>
      <c r="M544" s="1090">
        <f>+H544/'Parametros Generales'!$C$8</f>
        <v>4</v>
      </c>
      <c r="N544" s="1097"/>
      <c r="O544" s="1097"/>
      <c r="P544" s="1097"/>
      <c r="Q544" s="1097"/>
      <c r="R544" s="1097">
        <f>+(M544/'Parametros Generales'!$C$9)</f>
        <v>1</v>
      </c>
      <c r="S544" s="390"/>
      <c r="T544" s="390"/>
      <c r="U544" s="390"/>
      <c r="V544" s="389"/>
      <c r="W544" s="32">
        <f>+R544*'Componentes T.H.'!$Q$9*'Parametros Generales'!$C$6</f>
        <v>5018507.0710000005</v>
      </c>
      <c r="X544" s="32">
        <f>(+VLOOKUP(C544,'Transporte y Viaticos'!$B$87:$L$120,2,0)*'Parametros Generales'!$C$7*R544)*(2/3)</f>
        <v>796436.14266114938</v>
      </c>
      <c r="Y544" s="417"/>
      <c r="Z544" s="417"/>
      <c r="AA544" s="417"/>
      <c r="AB544" s="417">
        <f>+M544*'Parametros Generales'!$C$6*'Parametros Generales'!$J$9</f>
        <v>1947636.3636363642</v>
      </c>
      <c r="AC544" s="417">
        <f>+H544*'Parametros Generales'!$J$10*'Parametros Generales'!$C$6*'Parametros Generales'!$C$11</f>
        <v>7369249.3837008122</v>
      </c>
      <c r="AD544" s="417"/>
      <c r="AE544" s="417"/>
      <c r="AF544" s="417"/>
      <c r="AG544" s="417"/>
      <c r="AH544" s="417"/>
      <c r="AI544" s="417"/>
      <c r="AJ544" s="417"/>
      <c r="AK544" s="436"/>
      <c r="AL544" s="822"/>
    </row>
    <row r="545" spans="1:38" s="33" customFormat="1" hidden="1" outlineLevel="1">
      <c r="A545" s="1150"/>
      <c r="B545" s="821">
        <v>25</v>
      </c>
      <c r="C545" s="371" t="s">
        <v>348</v>
      </c>
      <c r="D545" s="31">
        <f>+VLOOKUP(E545,Codigos!$A$1:$B$1123,2,0)</f>
        <v>25740</v>
      </c>
      <c r="E545" s="1111" t="s">
        <v>1948</v>
      </c>
      <c r="F545" s="1103">
        <v>1</v>
      </c>
      <c r="G545" s="30">
        <v>198</v>
      </c>
      <c r="H545" s="1061">
        <f>CEILING(G545,'Parametros Generales'!$C$8)</f>
        <v>200</v>
      </c>
      <c r="I545" s="1057" t="s">
        <v>377</v>
      </c>
      <c r="J545" s="1058">
        <v>200</v>
      </c>
      <c r="K545" s="1070" t="str">
        <f t="shared" si="38"/>
        <v>Ok</v>
      </c>
      <c r="L545" s="1077">
        <f t="shared" si="39"/>
        <v>0</v>
      </c>
      <c r="M545" s="1090">
        <f>+H545/'Parametros Generales'!$C$8</f>
        <v>8</v>
      </c>
      <c r="N545" s="1097"/>
      <c r="O545" s="1097"/>
      <c r="P545" s="1097"/>
      <c r="Q545" s="1097"/>
      <c r="R545" s="1097">
        <f>+(M545/'Parametros Generales'!$C$9)</f>
        <v>2</v>
      </c>
      <c r="S545" s="390"/>
      <c r="T545" s="390"/>
      <c r="U545" s="390"/>
      <c r="V545" s="389"/>
      <c r="W545" s="32">
        <f>+R545*'Componentes T.H.'!$Q$9*'Parametros Generales'!$C$6</f>
        <v>10037014.142000001</v>
      </c>
      <c r="X545" s="32">
        <f>(+VLOOKUP(C545,'Transporte y Viaticos'!$B$87:$L$120,2,0)*'Parametros Generales'!$C$7*R545)*(2/3)</f>
        <v>1592872.2853222988</v>
      </c>
      <c r="Y545" s="417"/>
      <c r="Z545" s="417"/>
      <c r="AA545" s="417"/>
      <c r="AB545" s="417">
        <f>+M545*'Parametros Generales'!$C$6*'Parametros Generales'!$J$9</f>
        <v>3895272.7272727285</v>
      </c>
      <c r="AC545" s="417">
        <f>+H545*'Parametros Generales'!$J$10*'Parametros Generales'!$C$6*'Parametros Generales'!$C$11</f>
        <v>14738498.767401624</v>
      </c>
      <c r="AD545" s="417"/>
      <c r="AE545" s="417"/>
      <c r="AF545" s="417"/>
      <c r="AG545" s="417"/>
      <c r="AH545" s="417"/>
      <c r="AI545" s="417"/>
      <c r="AJ545" s="417"/>
      <c r="AK545" s="436"/>
      <c r="AL545" s="822"/>
    </row>
    <row r="546" spans="1:38" s="33" customFormat="1" hidden="1" outlineLevel="1">
      <c r="A546" s="1150"/>
      <c r="B546" s="821">
        <v>25</v>
      </c>
      <c r="C546" s="371" t="s">
        <v>348</v>
      </c>
      <c r="D546" s="31">
        <f>+VLOOKUP(E546,Codigos!$A$1:$B$1123,2,0)</f>
        <v>25745</v>
      </c>
      <c r="E546" s="1111" t="s">
        <v>1949</v>
      </c>
      <c r="F546" s="1103">
        <v>1</v>
      </c>
      <c r="G546" s="30">
        <v>198</v>
      </c>
      <c r="H546" s="1061">
        <f>CEILING((G546-50),'Parametros Generales'!$C$8)</f>
        <v>150</v>
      </c>
      <c r="I546" s="1057" t="s">
        <v>378</v>
      </c>
      <c r="J546" s="1058">
        <v>150</v>
      </c>
      <c r="K546" s="1070" t="str">
        <f t="shared" si="38"/>
        <v>Ok</v>
      </c>
      <c r="L546" s="1077">
        <f t="shared" si="39"/>
        <v>0</v>
      </c>
      <c r="M546" s="1090">
        <f>+H546/'Parametros Generales'!$C$8</f>
        <v>6</v>
      </c>
      <c r="N546" s="1097"/>
      <c r="O546" s="1097"/>
      <c r="P546" s="1097"/>
      <c r="Q546" s="1097"/>
      <c r="R546" s="1097">
        <f>+(M546/'Parametros Generales'!$C$9)</f>
        <v>1.5</v>
      </c>
      <c r="S546" s="390"/>
      <c r="T546" s="390"/>
      <c r="U546" s="390"/>
      <c r="V546" s="389"/>
      <c r="W546" s="32">
        <f>+R546*'Componentes T.H.'!$Q$9*'Parametros Generales'!$C$6</f>
        <v>7527760.6064999998</v>
      </c>
      <c r="X546" s="32">
        <f>(+VLOOKUP(C546,'Transporte y Viaticos'!$B$87:$L$120,2,0)*'Parametros Generales'!$C$7*R546)*(2/3)</f>
        <v>1194654.2139917242</v>
      </c>
      <c r="Y546" s="417"/>
      <c r="Z546" s="417"/>
      <c r="AA546" s="417"/>
      <c r="AB546" s="417">
        <f>+M546*'Parametros Generales'!$C$6*'Parametros Generales'!$J$9</f>
        <v>2921454.5454545463</v>
      </c>
      <c r="AC546" s="417">
        <f>+H546*'Parametros Generales'!$J$10*'Parametros Generales'!$C$6*'Parametros Generales'!$C$11</f>
        <v>11053874.075551221</v>
      </c>
      <c r="AD546" s="417"/>
      <c r="AE546" s="417"/>
      <c r="AF546" s="417"/>
      <c r="AG546" s="417"/>
      <c r="AH546" s="417"/>
      <c r="AI546" s="417"/>
      <c r="AJ546" s="417"/>
      <c r="AK546" s="436"/>
      <c r="AL546" s="822"/>
    </row>
    <row r="547" spans="1:38" s="33" customFormat="1" hidden="1" outlineLevel="1">
      <c r="A547" s="1150"/>
      <c r="B547" s="821">
        <v>25</v>
      </c>
      <c r="C547" s="371" t="s">
        <v>348</v>
      </c>
      <c r="D547" s="31">
        <f>+VLOOKUP(E547,Codigos!$A$1:$B$1123,2,0)</f>
        <v>25754</v>
      </c>
      <c r="E547" s="1111" t="s">
        <v>1950</v>
      </c>
      <c r="F547" s="1103">
        <v>1</v>
      </c>
      <c r="G547" s="30">
        <v>594</v>
      </c>
      <c r="H547" s="1061">
        <f>CEILING(G547,'Parametros Generales'!$C$8)</f>
        <v>600</v>
      </c>
      <c r="I547" s="1057" t="s">
        <v>379</v>
      </c>
      <c r="J547" s="1058">
        <v>600</v>
      </c>
      <c r="K547" s="1070" t="str">
        <f t="shared" si="38"/>
        <v>Ok</v>
      </c>
      <c r="L547" s="1077">
        <f t="shared" si="39"/>
        <v>0</v>
      </c>
      <c r="M547" s="1090">
        <f>+H547/'Parametros Generales'!$C$8</f>
        <v>24</v>
      </c>
      <c r="N547" s="1097"/>
      <c r="O547" s="1097"/>
      <c r="P547" s="1097"/>
      <c r="Q547" s="1097"/>
      <c r="R547" s="1097">
        <f>+(M547/'Parametros Generales'!$C$9)</f>
        <v>6</v>
      </c>
      <c r="S547" s="390"/>
      <c r="T547" s="390"/>
      <c r="U547" s="390"/>
      <c r="V547" s="389"/>
      <c r="W547" s="32">
        <f>+R547*'Componentes T.H.'!$Q$9*'Parametros Generales'!$C$6</f>
        <v>30111042.425999999</v>
      </c>
      <c r="X547" s="32">
        <f>(+VLOOKUP(C547,'Transporte y Viaticos'!$B$87:$L$120,2,0)*'Parametros Generales'!$C$7*R547)*(2/3)</f>
        <v>4778616.8559668968</v>
      </c>
      <c r="Y547" s="417"/>
      <c r="Z547" s="417"/>
      <c r="AA547" s="417"/>
      <c r="AB547" s="417">
        <f>+M547*'Parametros Generales'!$C$6*'Parametros Generales'!$J$9</f>
        <v>11685818.181818185</v>
      </c>
      <c r="AC547" s="417">
        <f>+H547*'Parametros Generales'!$J$10*'Parametros Generales'!$C$6*'Parametros Generales'!$C$11</f>
        <v>44215496.302204885</v>
      </c>
      <c r="AD547" s="417"/>
      <c r="AE547" s="417"/>
      <c r="AF547" s="417"/>
      <c r="AG547" s="417"/>
      <c r="AH547" s="417"/>
      <c r="AI547" s="417"/>
      <c r="AJ547" s="417"/>
      <c r="AK547" s="436"/>
      <c r="AL547" s="822"/>
    </row>
    <row r="548" spans="1:38" s="33" customFormat="1" hidden="1" outlineLevel="1">
      <c r="A548" s="1150"/>
      <c r="B548" s="821">
        <v>25</v>
      </c>
      <c r="C548" s="371" t="s">
        <v>348</v>
      </c>
      <c r="D548" s="31">
        <f>+VLOOKUP(E548,Codigos!$A$1:$B$1123,2,0)</f>
        <v>25758</v>
      </c>
      <c r="E548" s="1111" t="s">
        <v>1951</v>
      </c>
      <c r="F548" s="1103">
        <v>1</v>
      </c>
      <c r="G548" s="30">
        <v>198</v>
      </c>
      <c r="H548" s="1061">
        <f>CEILING((G548-50),'Parametros Generales'!$C$8)</f>
        <v>150</v>
      </c>
      <c r="I548" s="1057" t="s">
        <v>380</v>
      </c>
      <c r="J548" s="1058">
        <v>150</v>
      </c>
      <c r="K548" s="1070" t="str">
        <f t="shared" si="38"/>
        <v>Ok</v>
      </c>
      <c r="L548" s="1077">
        <f t="shared" si="39"/>
        <v>0</v>
      </c>
      <c r="M548" s="1090">
        <f>+H548/'Parametros Generales'!$C$8</f>
        <v>6</v>
      </c>
      <c r="N548" s="1097"/>
      <c r="O548" s="1097"/>
      <c r="P548" s="1097"/>
      <c r="Q548" s="1097"/>
      <c r="R548" s="1097">
        <f>+(M548/'Parametros Generales'!$C$9)</f>
        <v>1.5</v>
      </c>
      <c r="S548" s="390"/>
      <c r="T548" s="390"/>
      <c r="U548" s="390"/>
      <c r="V548" s="389"/>
      <c r="W548" s="32">
        <f>+R548*'Componentes T.H.'!$Q$9*'Parametros Generales'!$C$6</f>
        <v>7527760.6064999998</v>
      </c>
      <c r="X548" s="32">
        <f>(+VLOOKUP(C548,'Transporte y Viaticos'!$B$87:$L$120,2,0)*'Parametros Generales'!$C$7*R548)*(2/3)</f>
        <v>1194654.2139917242</v>
      </c>
      <c r="Y548" s="417"/>
      <c r="Z548" s="417"/>
      <c r="AA548" s="417"/>
      <c r="AB548" s="417">
        <f>+M548*'Parametros Generales'!$C$6*'Parametros Generales'!$J$9</f>
        <v>2921454.5454545463</v>
      </c>
      <c r="AC548" s="417">
        <f>+H548*'Parametros Generales'!$J$10*'Parametros Generales'!$C$6*'Parametros Generales'!$C$11</f>
        <v>11053874.075551221</v>
      </c>
      <c r="AD548" s="417"/>
      <c r="AE548" s="417"/>
      <c r="AF548" s="417"/>
      <c r="AG548" s="417"/>
      <c r="AH548" s="417"/>
      <c r="AI548" s="417"/>
      <c r="AJ548" s="417"/>
      <c r="AK548" s="436"/>
      <c r="AL548" s="822"/>
    </row>
    <row r="549" spans="1:38" s="33" customFormat="1" hidden="1" outlineLevel="1">
      <c r="A549" s="1150"/>
      <c r="B549" s="821"/>
      <c r="C549" s="371" t="str">
        <f t="shared" ref="C549:C550" si="40">+C548</f>
        <v>CUNDINAMARCA</v>
      </c>
      <c r="D549" s="31">
        <f>+VLOOKUP(E549,Codigos!$A$1:$B$1123,2,0)</f>
        <v>25772</v>
      </c>
      <c r="E549" s="1111" t="s">
        <v>981</v>
      </c>
      <c r="F549" s="1103">
        <v>1</v>
      </c>
      <c r="G549" s="30">
        <v>0</v>
      </c>
      <c r="H549" s="1061">
        <v>50</v>
      </c>
      <c r="I549" s="1057" t="s">
        <v>981</v>
      </c>
      <c r="J549" s="1058">
        <v>50</v>
      </c>
      <c r="K549" s="1070" t="str">
        <f t="shared" si="38"/>
        <v>Ok</v>
      </c>
      <c r="L549" s="1077">
        <f t="shared" si="39"/>
        <v>0</v>
      </c>
      <c r="M549" s="1090">
        <f>+H549/'Parametros Generales'!$C$8</f>
        <v>2</v>
      </c>
      <c r="N549" s="1097"/>
      <c r="O549" s="1097"/>
      <c r="P549" s="1097"/>
      <c r="Q549" s="1097"/>
      <c r="R549" s="1097">
        <f>+(M549/'Parametros Generales'!$C$9)</f>
        <v>0.5</v>
      </c>
      <c r="S549" s="390"/>
      <c r="T549" s="390"/>
      <c r="U549" s="390"/>
      <c r="V549" s="389"/>
      <c r="W549" s="32">
        <f>+R549*'Componentes T.H.'!$Q$9*'Parametros Generales'!$C$6</f>
        <v>2509253.5355000002</v>
      </c>
      <c r="X549" s="32">
        <f>(+VLOOKUP(C549,'Transporte y Viaticos'!$B$87:$L$120,2,0)*'Parametros Generales'!$C$7*R549)*(2/3)</f>
        <v>398218.07133057469</v>
      </c>
      <c r="Y549" s="417"/>
      <c r="Z549" s="417"/>
      <c r="AA549" s="417"/>
      <c r="AB549" s="417">
        <f>+M549*'Parametros Generales'!$C$6*'Parametros Generales'!$J$9</f>
        <v>973818.18181818211</v>
      </c>
      <c r="AC549" s="417">
        <f>+H549*'Parametros Generales'!$J$10*'Parametros Generales'!$C$6*'Parametros Generales'!$C$11</f>
        <v>3684624.6918504061</v>
      </c>
      <c r="AD549" s="417"/>
      <c r="AE549" s="417"/>
      <c r="AF549" s="417"/>
      <c r="AG549" s="417"/>
      <c r="AH549" s="417"/>
      <c r="AI549" s="417"/>
      <c r="AJ549" s="417"/>
      <c r="AK549" s="436"/>
      <c r="AL549" s="822"/>
    </row>
    <row r="550" spans="1:38" s="33" customFormat="1" hidden="1" outlineLevel="1">
      <c r="A550" s="1150"/>
      <c r="B550" s="821"/>
      <c r="C550" s="371" t="str">
        <f t="shared" si="40"/>
        <v>CUNDINAMARCA</v>
      </c>
      <c r="D550" s="31">
        <f>+VLOOKUP(E550,Codigos!$A$1:$B$1123,2,0)</f>
        <v>25777</v>
      </c>
      <c r="E550" s="1111" t="s">
        <v>982</v>
      </c>
      <c r="F550" s="1103">
        <v>1</v>
      </c>
      <c r="G550" s="30">
        <v>0</v>
      </c>
      <c r="H550" s="1061">
        <v>50</v>
      </c>
      <c r="I550" s="1057" t="s">
        <v>982</v>
      </c>
      <c r="J550" s="1058">
        <v>50</v>
      </c>
      <c r="K550" s="1070" t="str">
        <f t="shared" si="38"/>
        <v>Ok</v>
      </c>
      <c r="L550" s="1077">
        <f t="shared" si="39"/>
        <v>0</v>
      </c>
      <c r="M550" s="1090">
        <f>+H550/'Parametros Generales'!$C$8</f>
        <v>2</v>
      </c>
      <c r="N550" s="1097"/>
      <c r="O550" s="1097"/>
      <c r="P550" s="1097"/>
      <c r="Q550" s="1097"/>
      <c r="R550" s="1097">
        <f>+(M550/'Parametros Generales'!$C$9)</f>
        <v>0.5</v>
      </c>
      <c r="S550" s="390"/>
      <c r="T550" s="390"/>
      <c r="U550" s="390"/>
      <c r="V550" s="389"/>
      <c r="W550" s="32">
        <f>+R550*'Componentes T.H.'!$Q$9*'Parametros Generales'!$C$6</f>
        <v>2509253.5355000002</v>
      </c>
      <c r="X550" s="32">
        <f>(+VLOOKUP(C550,'Transporte y Viaticos'!$B$87:$L$120,2,0)*'Parametros Generales'!$C$7*R550)*(2/3)</f>
        <v>398218.07133057469</v>
      </c>
      <c r="Y550" s="417"/>
      <c r="Z550" s="417"/>
      <c r="AA550" s="417"/>
      <c r="AB550" s="417">
        <f>+M550*'Parametros Generales'!$C$6*'Parametros Generales'!$J$9</f>
        <v>973818.18181818211</v>
      </c>
      <c r="AC550" s="417">
        <f>+H550*'Parametros Generales'!$J$10*'Parametros Generales'!$C$6*'Parametros Generales'!$C$11</f>
        <v>3684624.6918504061</v>
      </c>
      <c r="AD550" s="417"/>
      <c r="AE550" s="417"/>
      <c r="AF550" s="417"/>
      <c r="AG550" s="417"/>
      <c r="AH550" s="417"/>
      <c r="AI550" s="417"/>
      <c r="AJ550" s="417"/>
      <c r="AK550" s="436"/>
      <c r="AL550" s="822"/>
    </row>
    <row r="551" spans="1:38" s="33" customFormat="1" hidden="1" outlineLevel="1">
      <c r="A551" s="1150"/>
      <c r="B551" s="821">
        <v>25</v>
      </c>
      <c r="C551" s="371" t="s">
        <v>348</v>
      </c>
      <c r="D551" s="31">
        <f>+VLOOKUP(E551,Codigos!$A$1:$B$1123,2,0)</f>
        <v>25781</v>
      </c>
      <c r="E551" s="1111" t="s">
        <v>1952</v>
      </c>
      <c r="F551" s="1103">
        <v>1</v>
      </c>
      <c r="G551" s="30">
        <v>198</v>
      </c>
      <c r="H551" s="1061">
        <f>CEILING((G551-100),'Parametros Generales'!$C$8)</f>
        <v>100</v>
      </c>
      <c r="I551" s="1057" t="s">
        <v>381</v>
      </c>
      <c r="J551" s="1058">
        <v>100</v>
      </c>
      <c r="K551" s="1070" t="str">
        <f t="shared" si="38"/>
        <v>Ok</v>
      </c>
      <c r="L551" s="1077">
        <f t="shared" si="39"/>
        <v>0</v>
      </c>
      <c r="M551" s="1090">
        <f>+H551/'Parametros Generales'!$C$8</f>
        <v>4</v>
      </c>
      <c r="N551" s="1097"/>
      <c r="O551" s="1097"/>
      <c r="P551" s="1097"/>
      <c r="Q551" s="1097"/>
      <c r="R551" s="1097">
        <f>+(M551/'Parametros Generales'!$C$9)</f>
        <v>1</v>
      </c>
      <c r="S551" s="390"/>
      <c r="T551" s="390"/>
      <c r="U551" s="390"/>
      <c r="V551" s="389"/>
      <c r="W551" s="32">
        <f>+R551*'Componentes T.H.'!$Q$9*'Parametros Generales'!$C$6</f>
        <v>5018507.0710000005</v>
      </c>
      <c r="X551" s="32">
        <f>(+VLOOKUP(C551,'Transporte y Viaticos'!$B$87:$L$120,2,0)*'Parametros Generales'!$C$7*R551)*(2/3)</f>
        <v>796436.14266114938</v>
      </c>
      <c r="Y551" s="417"/>
      <c r="Z551" s="417"/>
      <c r="AA551" s="417"/>
      <c r="AB551" s="417">
        <f>+M551*'Parametros Generales'!$C$6*'Parametros Generales'!$J$9</f>
        <v>1947636.3636363642</v>
      </c>
      <c r="AC551" s="417">
        <f>+H551*'Parametros Generales'!$J$10*'Parametros Generales'!$C$6*'Parametros Generales'!$C$11</f>
        <v>7369249.3837008122</v>
      </c>
      <c r="AD551" s="417"/>
      <c r="AE551" s="417"/>
      <c r="AF551" s="417"/>
      <c r="AG551" s="417"/>
      <c r="AH551" s="417"/>
      <c r="AI551" s="417"/>
      <c r="AJ551" s="417"/>
      <c r="AK551" s="436"/>
      <c r="AL551" s="822"/>
    </row>
    <row r="552" spans="1:38" s="33" customFormat="1" hidden="1" outlineLevel="1">
      <c r="A552" s="1150"/>
      <c r="B552" s="821"/>
      <c r="C552" s="371" t="str">
        <f t="shared" ref="C552:C554" si="41">+C551</f>
        <v>CUNDINAMARCA</v>
      </c>
      <c r="D552" s="31">
        <f>+VLOOKUP(E552,Codigos!$A$1:$B$1123,2,0)</f>
        <v>25785</v>
      </c>
      <c r="E552" s="1111" t="s">
        <v>984</v>
      </c>
      <c r="F552" s="1103">
        <v>1</v>
      </c>
      <c r="G552" s="30">
        <v>0</v>
      </c>
      <c r="H552" s="1061">
        <v>100</v>
      </c>
      <c r="I552" s="1057" t="s">
        <v>984</v>
      </c>
      <c r="J552" s="1058">
        <v>100</v>
      </c>
      <c r="K552" s="1070" t="str">
        <f t="shared" si="38"/>
        <v>Ok</v>
      </c>
      <c r="L552" s="1077">
        <f t="shared" si="39"/>
        <v>0</v>
      </c>
      <c r="M552" s="1090">
        <f>+H552/'Parametros Generales'!$C$8</f>
        <v>4</v>
      </c>
      <c r="N552" s="1097"/>
      <c r="O552" s="1097"/>
      <c r="P552" s="1097"/>
      <c r="Q552" s="1097"/>
      <c r="R552" s="1097">
        <f>+(M552/'Parametros Generales'!$C$9)</f>
        <v>1</v>
      </c>
      <c r="S552" s="390"/>
      <c r="T552" s="390"/>
      <c r="U552" s="390"/>
      <c r="V552" s="389"/>
      <c r="W552" s="32">
        <f>+R552*'Componentes T.H.'!$Q$9*'Parametros Generales'!$C$6</f>
        <v>5018507.0710000005</v>
      </c>
      <c r="X552" s="32">
        <f>(+VLOOKUP(C552,'Transporte y Viaticos'!$B$87:$L$120,2,0)*'Parametros Generales'!$C$7*R552)*(2/3)</f>
        <v>796436.14266114938</v>
      </c>
      <c r="Y552" s="417"/>
      <c r="Z552" s="417"/>
      <c r="AA552" s="417"/>
      <c r="AB552" s="417">
        <f>+M552*'Parametros Generales'!$C$6*'Parametros Generales'!$J$9</f>
        <v>1947636.3636363642</v>
      </c>
      <c r="AC552" s="417">
        <f>+H552*'Parametros Generales'!$J$10*'Parametros Generales'!$C$6*'Parametros Generales'!$C$11</f>
        <v>7369249.3837008122</v>
      </c>
      <c r="AD552" s="417"/>
      <c r="AE552" s="417"/>
      <c r="AF552" s="417"/>
      <c r="AG552" s="417"/>
      <c r="AH552" s="417"/>
      <c r="AI552" s="417"/>
      <c r="AJ552" s="417"/>
      <c r="AK552" s="436"/>
      <c r="AL552" s="822"/>
    </row>
    <row r="553" spans="1:38" s="33" customFormat="1" hidden="1" outlineLevel="1">
      <c r="A553" s="1150"/>
      <c r="B553" s="821"/>
      <c r="C553" s="371" t="str">
        <f t="shared" si="41"/>
        <v>CUNDINAMARCA</v>
      </c>
      <c r="D553" s="31">
        <f>+VLOOKUP(E553,Codigos!$A$1:$B$1123,2,0)</f>
        <v>25793</v>
      </c>
      <c r="E553" s="1111" t="s">
        <v>985</v>
      </c>
      <c r="F553" s="1103">
        <v>1</v>
      </c>
      <c r="G553" s="30">
        <v>0</v>
      </c>
      <c r="H553" s="1061">
        <v>50</v>
      </c>
      <c r="I553" s="1057" t="s">
        <v>985</v>
      </c>
      <c r="J553" s="1058">
        <v>50</v>
      </c>
      <c r="K553" s="1070" t="str">
        <f t="shared" si="38"/>
        <v>Ok</v>
      </c>
      <c r="L553" s="1077">
        <f t="shared" si="39"/>
        <v>0</v>
      </c>
      <c r="M553" s="1090">
        <f>+H553/'Parametros Generales'!$C$8</f>
        <v>2</v>
      </c>
      <c r="N553" s="1097"/>
      <c r="O553" s="1097"/>
      <c r="P553" s="1097"/>
      <c r="Q553" s="1097"/>
      <c r="R553" s="1097">
        <f>+(M553/'Parametros Generales'!$C$9)</f>
        <v>0.5</v>
      </c>
      <c r="S553" s="390"/>
      <c r="T553" s="390"/>
      <c r="U553" s="390"/>
      <c r="V553" s="389"/>
      <c r="W553" s="32">
        <f>+R553*'Componentes T.H.'!$Q$9*'Parametros Generales'!$C$6</f>
        <v>2509253.5355000002</v>
      </c>
      <c r="X553" s="32">
        <f>(+VLOOKUP(C553,'Transporte y Viaticos'!$B$87:$L$120,2,0)*'Parametros Generales'!$C$7*R553)*(2/3)</f>
        <v>398218.07133057469</v>
      </c>
      <c r="Y553" s="417"/>
      <c r="Z553" s="417"/>
      <c r="AA553" s="417"/>
      <c r="AB553" s="417">
        <f>+M553*'Parametros Generales'!$C$6*'Parametros Generales'!$J$9</f>
        <v>973818.18181818211</v>
      </c>
      <c r="AC553" s="417">
        <f>+H553*'Parametros Generales'!$J$10*'Parametros Generales'!$C$6*'Parametros Generales'!$C$11</f>
        <v>3684624.6918504061</v>
      </c>
      <c r="AD553" s="417"/>
      <c r="AE553" s="417"/>
      <c r="AF553" s="417"/>
      <c r="AG553" s="417"/>
      <c r="AH553" s="417"/>
      <c r="AI553" s="417"/>
      <c r="AJ553" s="417"/>
      <c r="AK553" s="436"/>
      <c r="AL553" s="822"/>
    </row>
    <row r="554" spans="1:38" s="33" customFormat="1" hidden="1" outlineLevel="1">
      <c r="A554" s="1150"/>
      <c r="B554" s="821"/>
      <c r="C554" s="371" t="str">
        <f t="shared" si="41"/>
        <v>CUNDINAMARCA</v>
      </c>
      <c r="D554" s="31">
        <f>+VLOOKUP(E554,Codigos!$A$1:$B$1123,2,0)</f>
        <v>25797</v>
      </c>
      <c r="E554" s="1111" t="s">
        <v>986</v>
      </c>
      <c r="F554" s="1103">
        <v>1</v>
      </c>
      <c r="G554" s="30">
        <v>0</v>
      </c>
      <c r="H554" s="1061">
        <v>50</v>
      </c>
      <c r="I554" s="1057" t="s">
        <v>986</v>
      </c>
      <c r="J554" s="1058">
        <v>50</v>
      </c>
      <c r="K554" s="1070" t="str">
        <f t="shared" si="38"/>
        <v>Ok</v>
      </c>
      <c r="L554" s="1077">
        <f t="shared" si="39"/>
        <v>0</v>
      </c>
      <c r="M554" s="1090">
        <f>+H554/'Parametros Generales'!$C$8</f>
        <v>2</v>
      </c>
      <c r="N554" s="1097"/>
      <c r="O554" s="1097"/>
      <c r="P554" s="1097"/>
      <c r="Q554" s="1097"/>
      <c r="R554" s="1097">
        <f>+(M554/'Parametros Generales'!$C$9)</f>
        <v>0.5</v>
      </c>
      <c r="S554" s="390"/>
      <c r="T554" s="390"/>
      <c r="U554" s="390"/>
      <c r="V554" s="389"/>
      <c r="W554" s="32">
        <f>+R554*'Componentes T.H.'!$Q$9*'Parametros Generales'!$C$6</f>
        <v>2509253.5355000002</v>
      </c>
      <c r="X554" s="32">
        <f>(+VLOOKUP(C554,'Transporte y Viaticos'!$B$87:$L$120,2,0)*'Parametros Generales'!$C$7*R554)*(2/3)</f>
        <v>398218.07133057469</v>
      </c>
      <c r="Y554" s="417"/>
      <c r="Z554" s="417"/>
      <c r="AA554" s="417"/>
      <c r="AB554" s="417">
        <f>+M554*'Parametros Generales'!$C$6*'Parametros Generales'!$J$9</f>
        <v>973818.18181818211</v>
      </c>
      <c r="AC554" s="417">
        <f>+H554*'Parametros Generales'!$J$10*'Parametros Generales'!$C$6*'Parametros Generales'!$C$11</f>
        <v>3684624.6918504061</v>
      </c>
      <c r="AD554" s="417"/>
      <c r="AE554" s="417"/>
      <c r="AF554" s="417"/>
      <c r="AG554" s="417"/>
      <c r="AH554" s="417"/>
      <c r="AI554" s="417"/>
      <c r="AJ554" s="417"/>
      <c r="AK554" s="436"/>
      <c r="AL554" s="822"/>
    </row>
    <row r="555" spans="1:38" s="33" customFormat="1" hidden="1" outlineLevel="1">
      <c r="A555" s="1150"/>
      <c r="B555" s="821">
        <v>25</v>
      </c>
      <c r="C555" s="371" t="s">
        <v>348</v>
      </c>
      <c r="D555" s="31">
        <f>+VLOOKUP(E555,Codigos!$A$1:$B$1123,2,0)</f>
        <v>25799</v>
      </c>
      <c r="E555" s="1111" t="s">
        <v>1953</v>
      </c>
      <c r="F555" s="1103">
        <v>1</v>
      </c>
      <c r="G555" s="30">
        <v>198</v>
      </c>
      <c r="H555" s="1061">
        <f>CEILING(G555,'Parametros Generales'!$C$8)</f>
        <v>200</v>
      </c>
      <c r="I555" s="1057" t="s">
        <v>382</v>
      </c>
      <c r="J555" s="1058">
        <v>200</v>
      </c>
      <c r="K555" s="1070" t="str">
        <f t="shared" si="38"/>
        <v>Ok</v>
      </c>
      <c r="L555" s="1077">
        <f t="shared" si="39"/>
        <v>0</v>
      </c>
      <c r="M555" s="1090">
        <f>+H555/'Parametros Generales'!$C$8</f>
        <v>8</v>
      </c>
      <c r="N555" s="1097"/>
      <c r="O555" s="1097"/>
      <c r="P555" s="1097"/>
      <c r="Q555" s="1097"/>
      <c r="R555" s="1097">
        <f>+(M555/'Parametros Generales'!$C$9)</f>
        <v>2</v>
      </c>
      <c r="S555" s="390"/>
      <c r="T555" s="390"/>
      <c r="U555" s="390"/>
      <c r="V555" s="389"/>
      <c r="W555" s="32">
        <f>+R555*'Componentes T.H.'!$Q$9*'Parametros Generales'!$C$6</f>
        <v>10037014.142000001</v>
      </c>
      <c r="X555" s="32">
        <f>(+VLOOKUP(C555,'Transporte y Viaticos'!$B$87:$L$120,2,0)*'Parametros Generales'!$C$7*R555)*(2/3)</f>
        <v>1592872.2853222988</v>
      </c>
      <c r="Y555" s="417"/>
      <c r="Z555" s="417"/>
      <c r="AA555" s="417"/>
      <c r="AB555" s="417">
        <f>+M555*'Parametros Generales'!$C$6*'Parametros Generales'!$J$9</f>
        <v>3895272.7272727285</v>
      </c>
      <c r="AC555" s="417">
        <f>+H555*'Parametros Generales'!$J$10*'Parametros Generales'!$C$6*'Parametros Generales'!$C$11</f>
        <v>14738498.767401624</v>
      </c>
      <c r="AD555" s="417"/>
      <c r="AE555" s="417"/>
      <c r="AF555" s="417"/>
      <c r="AG555" s="417"/>
      <c r="AH555" s="417"/>
      <c r="AI555" s="417"/>
      <c r="AJ555" s="417"/>
      <c r="AK555" s="436"/>
      <c r="AL555" s="822"/>
    </row>
    <row r="556" spans="1:38" s="33" customFormat="1" hidden="1" outlineLevel="1">
      <c r="A556" s="1150"/>
      <c r="B556" s="821">
        <v>25</v>
      </c>
      <c r="C556" s="371" t="s">
        <v>348</v>
      </c>
      <c r="D556" s="31">
        <f>+VLOOKUP(E556,Codigos!$A$1:$B$1123,2,0)</f>
        <v>25815</v>
      </c>
      <c r="E556" s="1111" t="s">
        <v>1954</v>
      </c>
      <c r="F556" s="1103">
        <v>1</v>
      </c>
      <c r="G556" s="30">
        <v>198</v>
      </c>
      <c r="H556" s="1061">
        <f>CEILING(G556,'Parametros Generales'!$C$8)</f>
        <v>200</v>
      </c>
      <c r="I556" s="1057" t="s">
        <v>383</v>
      </c>
      <c r="J556" s="1058">
        <v>200</v>
      </c>
      <c r="K556" s="1070" t="str">
        <f t="shared" si="38"/>
        <v>Ok</v>
      </c>
      <c r="L556" s="1077">
        <f t="shared" si="39"/>
        <v>0</v>
      </c>
      <c r="M556" s="1090">
        <f>+H556/'Parametros Generales'!$C$8</f>
        <v>8</v>
      </c>
      <c r="N556" s="1097"/>
      <c r="O556" s="1097"/>
      <c r="P556" s="1097"/>
      <c r="Q556" s="1097"/>
      <c r="R556" s="1097">
        <f>+(M556/'Parametros Generales'!$C$9)</f>
        <v>2</v>
      </c>
      <c r="S556" s="390"/>
      <c r="T556" s="390"/>
      <c r="U556" s="390"/>
      <c r="V556" s="389"/>
      <c r="W556" s="32">
        <f>+R556*'Componentes T.H.'!$Q$9*'Parametros Generales'!$C$6</f>
        <v>10037014.142000001</v>
      </c>
      <c r="X556" s="32">
        <f>(+VLOOKUP(C556,'Transporte y Viaticos'!$B$87:$L$120,2,0)*'Parametros Generales'!$C$7*R556)*(2/3)</f>
        <v>1592872.2853222988</v>
      </c>
      <c r="Y556" s="417"/>
      <c r="Z556" s="417"/>
      <c r="AA556" s="417"/>
      <c r="AB556" s="417">
        <f>+M556*'Parametros Generales'!$C$6*'Parametros Generales'!$J$9</f>
        <v>3895272.7272727285</v>
      </c>
      <c r="AC556" s="417">
        <f>+H556*'Parametros Generales'!$J$10*'Parametros Generales'!$C$6*'Parametros Generales'!$C$11</f>
        <v>14738498.767401624</v>
      </c>
      <c r="AD556" s="417"/>
      <c r="AE556" s="417"/>
      <c r="AF556" s="417"/>
      <c r="AG556" s="417"/>
      <c r="AH556" s="417"/>
      <c r="AI556" s="417"/>
      <c r="AJ556" s="417"/>
      <c r="AK556" s="436"/>
      <c r="AL556" s="822"/>
    </row>
    <row r="557" spans="1:38" s="33" customFormat="1" hidden="1" outlineLevel="1">
      <c r="A557" s="1150"/>
      <c r="B557" s="821">
        <v>25</v>
      </c>
      <c r="C557" s="371" t="s">
        <v>348</v>
      </c>
      <c r="D557" s="31">
        <f>+VLOOKUP(E557,Codigos!$A$1:$B$1123,2,0)</f>
        <v>25817</v>
      </c>
      <c r="E557" s="1111" t="s">
        <v>1955</v>
      </c>
      <c r="F557" s="1103">
        <v>1</v>
      </c>
      <c r="G557" s="30">
        <v>198</v>
      </c>
      <c r="H557" s="1061">
        <f>CEILING(G557,'Parametros Generales'!$C$8)</f>
        <v>200</v>
      </c>
      <c r="I557" s="1057" t="s">
        <v>384</v>
      </c>
      <c r="J557" s="1058">
        <v>200</v>
      </c>
      <c r="K557" s="1070" t="str">
        <f t="shared" si="38"/>
        <v>Ok</v>
      </c>
      <c r="L557" s="1077">
        <f t="shared" si="39"/>
        <v>0</v>
      </c>
      <c r="M557" s="1090">
        <f>+H557/'Parametros Generales'!$C$8</f>
        <v>8</v>
      </c>
      <c r="N557" s="1097"/>
      <c r="O557" s="1097"/>
      <c r="P557" s="1097"/>
      <c r="Q557" s="1097"/>
      <c r="R557" s="1097">
        <f>+(M557/'Parametros Generales'!$C$9)</f>
        <v>2</v>
      </c>
      <c r="S557" s="390"/>
      <c r="T557" s="390"/>
      <c r="U557" s="390"/>
      <c r="V557" s="389"/>
      <c r="W557" s="32">
        <f>+R557*'Componentes T.H.'!$Q$9*'Parametros Generales'!$C$6</f>
        <v>10037014.142000001</v>
      </c>
      <c r="X557" s="32">
        <f>(+VLOOKUP(C557,'Transporte y Viaticos'!$B$87:$L$120,2,0)*'Parametros Generales'!$C$7*R557)*(2/3)</f>
        <v>1592872.2853222988</v>
      </c>
      <c r="Y557" s="417"/>
      <c r="Z557" s="417"/>
      <c r="AA557" s="417"/>
      <c r="AB557" s="417">
        <f>+M557*'Parametros Generales'!$C$6*'Parametros Generales'!$J$9</f>
        <v>3895272.7272727285</v>
      </c>
      <c r="AC557" s="417">
        <f>+H557*'Parametros Generales'!$J$10*'Parametros Generales'!$C$6*'Parametros Generales'!$C$11</f>
        <v>14738498.767401624</v>
      </c>
      <c r="AD557" s="417"/>
      <c r="AE557" s="417"/>
      <c r="AF557" s="417"/>
      <c r="AG557" s="417"/>
      <c r="AH557" s="417"/>
      <c r="AI557" s="417"/>
      <c r="AJ557" s="417"/>
      <c r="AK557" s="436"/>
      <c r="AL557" s="822"/>
    </row>
    <row r="558" spans="1:38" s="33" customFormat="1" hidden="1" outlineLevel="1">
      <c r="A558" s="1150"/>
      <c r="B558" s="821"/>
      <c r="C558" s="371" t="str">
        <f>+C557</f>
        <v>CUNDINAMARCA</v>
      </c>
      <c r="D558" s="31">
        <f>+VLOOKUP(E558,Codigos!$A$1:$B$1123,2,0)</f>
        <v>25823</v>
      </c>
      <c r="E558" s="1118" t="s">
        <v>989</v>
      </c>
      <c r="F558" s="1103">
        <v>1</v>
      </c>
      <c r="G558" s="30">
        <v>0</v>
      </c>
      <c r="H558" s="1061">
        <v>50</v>
      </c>
      <c r="I558" s="1057" t="s">
        <v>989</v>
      </c>
      <c r="J558" s="1058">
        <v>50</v>
      </c>
      <c r="K558" s="1070" t="str">
        <f t="shared" si="38"/>
        <v>Ok</v>
      </c>
      <c r="L558" s="1077">
        <f t="shared" si="39"/>
        <v>0</v>
      </c>
      <c r="M558" s="1090">
        <f>+H558/'Parametros Generales'!$C$8</f>
        <v>2</v>
      </c>
      <c r="N558" s="1097"/>
      <c r="O558" s="1097"/>
      <c r="P558" s="1097"/>
      <c r="Q558" s="1097"/>
      <c r="R558" s="1097">
        <f>+(M558/'Parametros Generales'!$C$9)</f>
        <v>0.5</v>
      </c>
      <c r="S558" s="390"/>
      <c r="T558" s="390"/>
      <c r="U558" s="390"/>
      <c r="V558" s="389"/>
      <c r="W558" s="32">
        <f>+R558*'Componentes T.H.'!$Q$9*'Parametros Generales'!$C$6</f>
        <v>2509253.5355000002</v>
      </c>
      <c r="X558" s="32">
        <f>(+VLOOKUP(C558,'Transporte y Viaticos'!$B$87:$L$120,2,0)*'Parametros Generales'!$C$7*R558)*(2/3)</f>
        <v>398218.07133057469</v>
      </c>
      <c r="Y558" s="417"/>
      <c r="Z558" s="417"/>
      <c r="AA558" s="417"/>
      <c r="AB558" s="417">
        <f>+M558*'Parametros Generales'!$C$6*'Parametros Generales'!$J$9</f>
        <v>973818.18181818211</v>
      </c>
      <c r="AC558" s="417">
        <f>+H558*'Parametros Generales'!$J$10*'Parametros Generales'!$C$6*'Parametros Generales'!$C$11</f>
        <v>3684624.6918504061</v>
      </c>
      <c r="AD558" s="417"/>
      <c r="AE558" s="417"/>
      <c r="AF558" s="417"/>
      <c r="AG558" s="417"/>
      <c r="AH558" s="417"/>
      <c r="AI558" s="417"/>
      <c r="AJ558" s="417"/>
      <c r="AK558" s="436"/>
      <c r="AL558" s="822"/>
    </row>
    <row r="559" spans="1:38" s="33" customFormat="1" hidden="1" outlineLevel="1">
      <c r="A559" s="1150"/>
      <c r="B559" s="821">
        <v>25</v>
      </c>
      <c r="C559" s="371" t="s">
        <v>348</v>
      </c>
      <c r="D559" s="31">
        <f>+VLOOKUP(E559,Codigos!$A$1:$B$1123,2,0)</f>
        <v>25851</v>
      </c>
      <c r="E559" s="1111" t="s">
        <v>1956</v>
      </c>
      <c r="F559" s="1103">
        <v>1</v>
      </c>
      <c r="G559" s="30">
        <v>198</v>
      </c>
      <c r="H559" s="1061">
        <f>CEILING(G559,'Parametros Generales'!$C$8)</f>
        <v>200</v>
      </c>
      <c r="I559" s="1057" t="s">
        <v>385</v>
      </c>
      <c r="J559" s="1058">
        <v>200</v>
      </c>
      <c r="K559" s="1070" t="str">
        <f t="shared" si="38"/>
        <v>Ok</v>
      </c>
      <c r="L559" s="1077">
        <f t="shared" si="39"/>
        <v>0</v>
      </c>
      <c r="M559" s="1090">
        <f>+H559/'Parametros Generales'!$C$8</f>
        <v>8</v>
      </c>
      <c r="N559" s="1097"/>
      <c r="O559" s="1097"/>
      <c r="P559" s="1097"/>
      <c r="Q559" s="1097"/>
      <c r="R559" s="1097">
        <f>+(M559/'Parametros Generales'!$C$9)</f>
        <v>2</v>
      </c>
      <c r="S559" s="390"/>
      <c r="T559" s="390"/>
      <c r="U559" s="390"/>
      <c r="V559" s="389"/>
      <c r="W559" s="32">
        <f>+R559*'Componentes T.H.'!$Q$9*'Parametros Generales'!$C$6</f>
        <v>10037014.142000001</v>
      </c>
      <c r="X559" s="32">
        <f>(+VLOOKUP(C559,'Transporte y Viaticos'!$B$87:$L$120,2,0)*'Parametros Generales'!$C$7*R559)*(2/3)</f>
        <v>1592872.2853222988</v>
      </c>
      <c r="Y559" s="417"/>
      <c r="Z559" s="417"/>
      <c r="AA559" s="417"/>
      <c r="AB559" s="417">
        <f>+M559*'Parametros Generales'!$C$6*'Parametros Generales'!$J$9</f>
        <v>3895272.7272727285</v>
      </c>
      <c r="AC559" s="417">
        <f>+H559*'Parametros Generales'!$J$10*'Parametros Generales'!$C$6*'Parametros Generales'!$C$11</f>
        <v>14738498.767401624</v>
      </c>
      <c r="AD559" s="417"/>
      <c r="AE559" s="417"/>
      <c r="AF559" s="417"/>
      <c r="AG559" s="417"/>
      <c r="AH559" s="417"/>
      <c r="AI559" s="417"/>
      <c r="AJ559" s="417"/>
      <c r="AK559" s="436"/>
      <c r="AL559" s="822"/>
    </row>
    <row r="560" spans="1:38" s="33" customFormat="1" hidden="1" outlineLevel="1">
      <c r="A560" s="1150"/>
      <c r="B560" s="821">
        <v>25</v>
      </c>
      <c r="C560" s="371" t="s">
        <v>348</v>
      </c>
      <c r="D560" s="31" t="e">
        <f>+VLOOKUP(E560,Codigos!$A$1:$B$1123,2,0)</f>
        <v>#N/A</v>
      </c>
      <c r="E560" s="1111" t="s">
        <v>1957</v>
      </c>
      <c r="F560" s="1103">
        <v>1</v>
      </c>
      <c r="G560" s="30">
        <v>100</v>
      </c>
      <c r="H560" s="1061">
        <f>CEILING(G560,'Parametros Generales'!$C$8)</f>
        <v>100</v>
      </c>
      <c r="I560" s="1057" t="s">
        <v>2390</v>
      </c>
      <c r="J560" s="1058">
        <v>100</v>
      </c>
      <c r="K560" s="1070" t="str">
        <f t="shared" si="38"/>
        <v>Ok</v>
      </c>
      <c r="L560" s="1077">
        <f t="shared" si="39"/>
        <v>0</v>
      </c>
      <c r="M560" s="1090">
        <f>+H560/'Parametros Generales'!$C$8</f>
        <v>4</v>
      </c>
      <c r="N560" s="1097"/>
      <c r="O560" s="1097"/>
      <c r="P560" s="1097"/>
      <c r="Q560" s="1097"/>
      <c r="R560" s="1097">
        <f>+(M560/'Parametros Generales'!$C$9)</f>
        <v>1</v>
      </c>
      <c r="S560" s="390"/>
      <c r="T560" s="390"/>
      <c r="U560" s="390"/>
      <c r="V560" s="389"/>
      <c r="W560" s="32">
        <f>+R560*'Componentes T.H.'!$Q$9*'Parametros Generales'!$C$6</f>
        <v>5018507.0710000005</v>
      </c>
      <c r="X560" s="32">
        <f>(+VLOOKUP(C560,'Transporte y Viaticos'!$B$87:$L$120,2,0)*'Parametros Generales'!$C$7*R560)*(2/3)</f>
        <v>796436.14266114938</v>
      </c>
      <c r="Y560" s="417"/>
      <c r="Z560" s="417"/>
      <c r="AA560" s="417"/>
      <c r="AB560" s="417">
        <f>+M560*'Parametros Generales'!$C$6*'Parametros Generales'!$J$9</f>
        <v>1947636.3636363642</v>
      </c>
      <c r="AC560" s="417">
        <f>+H560*'Parametros Generales'!$J$10*'Parametros Generales'!$C$6*'Parametros Generales'!$C$11</f>
        <v>7369249.3837008122</v>
      </c>
      <c r="AD560" s="417"/>
      <c r="AE560" s="417"/>
      <c r="AF560" s="417"/>
      <c r="AG560" s="417"/>
      <c r="AH560" s="417"/>
      <c r="AI560" s="417"/>
      <c r="AJ560" s="417"/>
      <c r="AK560" s="436"/>
      <c r="AL560" s="822"/>
    </row>
    <row r="561" spans="1:38" s="33" customFormat="1" hidden="1" outlineLevel="1">
      <c r="A561" s="1150"/>
      <c r="B561" s="821"/>
      <c r="C561" s="371" t="str">
        <f>+C560</f>
        <v>CUNDINAMARCA</v>
      </c>
      <c r="D561" s="31">
        <f>+VLOOKUP(E561,Codigos!$A$1:$B$1123,2,0)</f>
        <v>25867</v>
      </c>
      <c r="E561" s="1111" t="s">
        <v>994</v>
      </c>
      <c r="F561" s="1103">
        <v>1</v>
      </c>
      <c r="G561" s="30">
        <v>0</v>
      </c>
      <c r="H561" s="1061">
        <v>50</v>
      </c>
      <c r="I561" s="1057" t="s">
        <v>994</v>
      </c>
      <c r="J561" s="1058">
        <v>50</v>
      </c>
      <c r="K561" s="1070" t="str">
        <f t="shared" si="38"/>
        <v>Ok</v>
      </c>
      <c r="L561" s="1077">
        <f t="shared" si="39"/>
        <v>0</v>
      </c>
      <c r="M561" s="1090">
        <f>+H561/'Parametros Generales'!$C$8</f>
        <v>2</v>
      </c>
      <c r="N561" s="1097"/>
      <c r="O561" s="1097"/>
      <c r="P561" s="1097"/>
      <c r="Q561" s="1097"/>
      <c r="R561" s="1097">
        <f>+(M561/'Parametros Generales'!$C$9)</f>
        <v>0.5</v>
      </c>
      <c r="S561" s="390"/>
      <c r="T561" s="390"/>
      <c r="U561" s="390"/>
      <c r="V561" s="389"/>
      <c r="W561" s="32">
        <f>+R561*'Componentes T.H.'!$Q$9*'Parametros Generales'!$C$6</f>
        <v>2509253.5355000002</v>
      </c>
      <c r="X561" s="32">
        <f>(+VLOOKUP(C561,'Transporte y Viaticos'!$B$87:$L$120,2,0)*'Parametros Generales'!$C$7*R561)*(2/3)</f>
        <v>398218.07133057469</v>
      </c>
      <c r="Y561" s="417"/>
      <c r="Z561" s="417"/>
      <c r="AA561" s="417"/>
      <c r="AB561" s="417">
        <f>+M561*'Parametros Generales'!$C$6*'Parametros Generales'!$J$9</f>
        <v>973818.18181818211</v>
      </c>
      <c r="AC561" s="417">
        <f>+H561*'Parametros Generales'!$J$10*'Parametros Generales'!$C$6*'Parametros Generales'!$C$11</f>
        <v>3684624.6918504061</v>
      </c>
      <c r="AD561" s="417"/>
      <c r="AE561" s="417"/>
      <c r="AF561" s="417"/>
      <c r="AG561" s="417"/>
      <c r="AH561" s="417"/>
      <c r="AI561" s="417"/>
      <c r="AJ561" s="417"/>
      <c r="AK561" s="436"/>
      <c r="AL561" s="822"/>
    </row>
    <row r="562" spans="1:38" s="33" customFormat="1" hidden="1" outlineLevel="1">
      <c r="A562" s="1150"/>
      <c r="B562" s="821">
        <v>25</v>
      </c>
      <c r="C562" s="371" t="s">
        <v>348</v>
      </c>
      <c r="D562" s="31">
        <f>+VLOOKUP(E562,Codigos!$A$1:$B$1123,2,0)</f>
        <v>25843</v>
      </c>
      <c r="E562" s="1111" t="s">
        <v>1958</v>
      </c>
      <c r="F562" s="1103">
        <v>1</v>
      </c>
      <c r="G562" s="30">
        <v>198</v>
      </c>
      <c r="H562" s="1061">
        <f>CEILING((G562-50),'Parametros Generales'!$C$8)</f>
        <v>150</v>
      </c>
      <c r="I562" s="1057" t="s">
        <v>386</v>
      </c>
      <c r="J562" s="1058">
        <v>150</v>
      </c>
      <c r="K562" s="1070" t="str">
        <f t="shared" si="38"/>
        <v>Ok</v>
      </c>
      <c r="L562" s="1077">
        <f t="shared" si="39"/>
        <v>0</v>
      </c>
      <c r="M562" s="1090">
        <f>+H562/'Parametros Generales'!$C$8</f>
        <v>6</v>
      </c>
      <c r="N562" s="1097"/>
      <c r="O562" s="1097"/>
      <c r="P562" s="1097"/>
      <c r="Q562" s="1097"/>
      <c r="R562" s="1097">
        <f>+(M562/'Parametros Generales'!$C$9)</f>
        <v>1.5</v>
      </c>
      <c r="S562" s="390"/>
      <c r="T562" s="390"/>
      <c r="U562" s="390"/>
      <c r="V562" s="389"/>
      <c r="W562" s="32">
        <f>+R562*'Componentes T.H.'!$Q$9*'Parametros Generales'!$C$6</f>
        <v>7527760.6064999998</v>
      </c>
      <c r="X562" s="32">
        <f>(+VLOOKUP(C562,'Transporte y Viaticos'!$B$87:$L$120,2,0)*'Parametros Generales'!$C$7*R562)*(2/3)</f>
        <v>1194654.2139917242</v>
      </c>
      <c r="Y562" s="417"/>
      <c r="Z562" s="417"/>
      <c r="AA562" s="417"/>
      <c r="AB562" s="417">
        <f>+M562*'Parametros Generales'!$C$6*'Parametros Generales'!$J$9</f>
        <v>2921454.5454545463</v>
      </c>
      <c r="AC562" s="417">
        <f>+H562*'Parametros Generales'!$J$10*'Parametros Generales'!$C$6*'Parametros Generales'!$C$11</f>
        <v>11053874.075551221</v>
      </c>
      <c r="AD562" s="417"/>
      <c r="AE562" s="417"/>
      <c r="AF562" s="417"/>
      <c r="AG562" s="417"/>
      <c r="AH562" s="417"/>
      <c r="AI562" s="417"/>
      <c r="AJ562" s="417"/>
      <c r="AK562" s="436"/>
      <c r="AL562" s="822"/>
    </row>
    <row r="563" spans="1:38" s="33" customFormat="1" hidden="1" outlineLevel="1">
      <c r="A563" s="1150"/>
      <c r="B563" s="821"/>
      <c r="C563" s="371" t="str">
        <f>+C562</f>
        <v>CUNDINAMARCA</v>
      </c>
      <c r="D563" s="31">
        <f>+VLOOKUP(E563,Codigos!$A$1:$B$1123,2,0)</f>
        <v>25871</v>
      </c>
      <c r="E563" s="1111" t="s">
        <v>995</v>
      </c>
      <c r="F563" s="1103">
        <v>1</v>
      </c>
      <c r="G563" s="30">
        <v>0</v>
      </c>
      <c r="H563" s="1061">
        <v>50</v>
      </c>
      <c r="I563" s="1057" t="s">
        <v>995</v>
      </c>
      <c r="J563" s="1058">
        <v>50</v>
      </c>
      <c r="K563" s="1070" t="str">
        <f t="shared" si="38"/>
        <v>Ok</v>
      </c>
      <c r="L563" s="1077">
        <f t="shared" si="39"/>
        <v>0</v>
      </c>
      <c r="M563" s="1090">
        <f>+H563/'Parametros Generales'!$C$8</f>
        <v>2</v>
      </c>
      <c r="N563" s="1097"/>
      <c r="O563" s="1097"/>
      <c r="P563" s="1097"/>
      <c r="Q563" s="1097"/>
      <c r="R563" s="1097">
        <f>+(M563/'Parametros Generales'!$C$9)</f>
        <v>0.5</v>
      </c>
      <c r="S563" s="390"/>
      <c r="T563" s="390"/>
      <c r="U563" s="390"/>
      <c r="V563" s="389"/>
      <c r="W563" s="32">
        <f>+R563*'Componentes T.H.'!$Q$9*'Parametros Generales'!$C$6</f>
        <v>2509253.5355000002</v>
      </c>
      <c r="X563" s="32">
        <f>(+VLOOKUP(C563,'Transporte y Viaticos'!$B$87:$L$120,2,0)*'Parametros Generales'!$C$7*R563)*(2/3)</f>
        <v>398218.07133057469</v>
      </c>
      <c r="Y563" s="417"/>
      <c r="Z563" s="417"/>
      <c r="AA563" s="417"/>
      <c r="AB563" s="417">
        <f>+M563*'Parametros Generales'!$C$6*'Parametros Generales'!$J$9</f>
        <v>973818.18181818211</v>
      </c>
      <c r="AC563" s="417">
        <f>+H563*'Parametros Generales'!$J$10*'Parametros Generales'!$C$6*'Parametros Generales'!$C$11</f>
        <v>3684624.6918504061</v>
      </c>
      <c r="AD563" s="417"/>
      <c r="AE563" s="417"/>
      <c r="AF563" s="417"/>
      <c r="AG563" s="417"/>
      <c r="AH563" s="417"/>
      <c r="AI563" s="417"/>
      <c r="AJ563" s="417"/>
      <c r="AK563" s="436"/>
      <c r="AL563" s="822"/>
    </row>
    <row r="564" spans="1:38" s="33" customFormat="1" hidden="1" outlineLevel="1">
      <c r="A564" s="1150"/>
      <c r="B564" s="821">
        <v>25</v>
      </c>
      <c r="C564" s="371" t="s">
        <v>348</v>
      </c>
      <c r="D564" s="31">
        <f>+VLOOKUP(E564,Codigos!$A$1:$B$1123,2,0)</f>
        <v>25875</v>
      </c>
      <c r="E564" s="1111" t="s">
        <v>1959</v>
      </c>
      <c r="F564" s="1103">
        <v>1</v>
      </c>
      <c r="G564" s="30">
        <v>198</v>
      </c>
      <c r="H564" s="1061">
        <f>CEILING(G564,'Parametros Generales'!$C$8)</f>
        <v>200</v>
      </c>
      <c r="I564" s="1057" t="s">
        <v>387</v>
      </c>
      <c r="J564" s="1058">
        <v>200</v>
      </c>
      <c r="K564" s="1070" t="str">
        <f t="shared" si="38"/>
        <v>Ok</v>
      </c>
      <c r="L564" s="1077">
        <f t="shared" si="39"/>
        <v>0</v>
      </c>
      <c r="M564" s="1090">
        <f>+H564/'Parametros Generales'!$C$8</f>
        <v>8</v>
      </c>
      <c r="N564" s="1097"/>
      <c r="O564" s="1097"/>
      <c r="P564" s="1097"/>
      <c r="Q564" s="1097"/>
      <c r="R564" s="1097">
        <f>+(M564/'Parametros Generales'!$C$9)</f>
        <v>2</v>
      </c>
      <c r="S564" s="390"/>
      <c r="T564" s="390"/>
      <c r="U564" s="390"/>
      <c r="V564" s="389"/>
      <c r="W564" s="32">
        <f>+R564*'Componentes T.H.'!$Q$9*'Parametros Generales'!$C$6</f>
        <v>10037014.142000001</v>
      </c>
      <c r="X564" s="32">
        <f>(+VLOOKUP(C564,'Transporte y Viaticos'!$B$87:$L$120,2,0)*'Parametros Generales'!$C$7*R564)*(2/3)</f>
        <v>1592872.2853222988</v>
      </c>
      <c r="Y564" s="417"/>
      <c r="Z564" s="417"/>
      <c r="AA564" s="417"/>
      <c r="AB564" s="417">
        <f>+M564*'Parametros Generales'!$C$6*'Parametros Generales'!$J$9</f>
        <v>3895272.7272727285</v>
      </c>
      <c r="AC564" s="417">
        <f>+H564*'Parametros Generales'!$J$10*'Parametros Generales'!$C$6*'Parametros Generales'!$C$11</f>
        <v>14738498.767401624</v>
      </c>
      <c r="AD564" s="417"/>
      <c r="AE564" s="417"/>
      <c r="AF564" s="417"/>
      <c r="AG564" s="417"/>
      <c r="AH564" s="417"/>
      <c r="AI564" s="417"/>
      <c r="AJ564" s="417"/>
      <c r="AK564" s="436"/>
      <c r="AL564" s="822"/>
    </row>
    <row r="565" spans="1:38" s="33" customFormat="1" hidden="1" outlineLevel="1">
      <c r="A565" s="1150"/>
      <c r="B565" s="823">
        <v>25</v>
      </c>
      <c r="C565" s="373" t="s">
        <v>348</v>
      </c>
      <c r="D565" s="31">
        <f>+VLOOKUP(E565,Codigos!$A$1:$B$1123,2,0)</f>
        <v>25878</v>
      </c>
      <c r="E565" s="1113" t="s">
        <v>1960</v>
      </c>
      <c r="F565" s="1104">
        <v>1</v>
      </c>
      <c r="G565" s="375">
        <v>198</v>
      </c>
      <c r="H565" s="1062">
        <f>CEILING(G565,'Parametros Generales'!$C$8)</f>
        <v>200</v>
      </c>
      <c r="I565" s="1057" t="s">
        <v>388</v>
      </c>
      <c r="J565" s="1058">
        <v>200</v>
      </c>
      <c r="K565" s="1070" t="str">
        <f t="shared" si="38"/>
        <v>Ok</v>
      </c>
      <c r="L565" s="1077">
        <f t="shared" si="39"/>
        <v>0</v>
      </c>
      <c r="M565" s="1091">
        <f>+H565/'Parametros Generales'!$C$8</f>
        <v>8</v>
      </c>
      <c r="N565" s="1098"/>
      <c r="O565" s="1098"/>
      <c r="P565" s="1098"/>
      <c r="Q565" s="1098"/>
      <c r="R565" s="1098">
        <f>+(M565/'Parametros Generales'!$C$9)</f>
        <v>2</v>
      </c>
      <c r="S565" s="395"/>
      <c r="T565" s="395"/>
      <c r="U565" s="395"/>
      <c r="V565" s="396"/>
      <c r="W565" s="376">
        <f>+R565*'Componentes T.H.'!$Q$9*'Parametros Generales'!$C$6</f>
        <v>10037014.142000001</v>
      </c>
      <c r="X565" s="376">
        <f>(+VLOOKUP(C565,'Transporte y Viaticos'!$B$87:$L$120,2,0)*'Parametros Generales'!$C$7*R565)*(2/3)</f>
        <v>1592872.2853222988</v>
      </c>
      <c r="Y565" s="417"/>
      <c r="Z565" s="417"/>
      <c r="AA565" s="417"/>
      <c r="AB565" s="417">
        <f>+M565*'Parametros Generales'!$C$6*'Parametros Generales'!$J$9</f>
        <v>3895272.7272727285</v>
      </c>
      <c r="AC565" s="417">
        <f>+H565*'Parametros Generales'!$J$10*'Parametros Generales'!$C$6*'Parametros Generales'!$C$11</f>
        <v>14738498.767401624</v>
      </c>
      <c r="AD565" s="417"/>
      <c r="AE565" s="417"/>
      <c r="AF565" s="417"/>
      <c r="AG565" s="417"/>
      <c r="AH565" s="417"/>
      <c r="AI565" s="417"/>
      <c r="AJ565" s="417"/>
      <c r="AK565" s="436"/>
      <c r="AL565" s="822"/>
    </row>
    <row r="566" spans="1:38" s="33" customFormat="1" hidden="1" outlineLevel="1">
      <c r="A566" s="1150"/>
      <c r="B566" s="823">
        <f t="shared" ref="B566:B581" si="42">+B565</f>
        <v>25</v>
      </c>
      <c r="C566" s="373" t="str">
        <f>+C565</f>
        <v>CUNDINAMARCA</v>
      </c>
      <c r="D566" s="31">
        <f>+VLOOKUP(E566,Codigos!$A$1:$B$1123,2,0)</f>
        <v>25885</v>
      </c>
      <c r="E566" s="1113" t="s">
        <v>1961</v>
      </c>
      <c r="F566" s="1104">
        <v>1</v>
      </c>
      <c r="G566" s="375">
        <v>198</v>
      </c>
      <c r="H566" s="1062">
        <f>CEILING((G566-50-100),'Parametros Generales'!$C$8)</f>
        <v>50</v>
      </c>
      <c r="I566" s="1057" t="s">
        <v>389</v>
      </c>
      <c r="J566" s="1058">
        <v>50</v>
      </c>
      <c r="K566" s="1070" t="str">
        <f t="shared" si="38"/>
        <v>Ok</v>
      </c>
      <c r="L566" s="1077">
        <f t="shared" si="39"/>
        <v>0</v>
      </c>
      <c r="M566" s="1091">
        <f>+H566/'Parametros Generales'!$C$8</f>
        <v>2</v>
      </c>
      <c r="N566" s="1098"/>
      <c r="O566" s="1098"/>
      <c r="P566" s="1098"/>
      <c r="Q566" s="1098"/>
      <c r="R566" s="1098">
        <f>+(M566/'Parametros Generales'!$C$9)</f>
        <v>0.5</v>
      </c>
      <c r="S566" s="395"/>
      <c r="T566" s="395"/>
      <c r="U566" s="395"/>
      <c r="V566" s="396"/>
      <c r="W566" s="376">
        <f>+R566*'Componentes T.H.'!$Q$9*'Parametros Generales'!$C$6</f>
        <v>2509253.5355000002</v>
      </c>
      <c r="X566" s="376">
        <f>(+VLOOKUP(C566,'Transporte y Viaticos'!$B$87:$L$120,2,0)*'Parametros Generales'!$C$7*R566)*(2/3)</f>
        <v>398218.07133057469</v>
      </c>
      <c r="Y566" s="417"/>
      <c r="Z566" s="417"/>
      <c r="AA566" s="417"/>
      <c r="AB566" s="417">
        <f>+M566*'Parametros Generales'!$C$6*'Parametros Generales'!$J$9</f>
        <v>973818.18181818211</v>
      </c>
      <c r="AC566" s="417">
        <f>+H566*'Parametros Generales'!$J$10*'Parametros Generales'!$C$6*'Parametros Generales'!$C$11</f>
        <v>3684624.6918504061</v>
      </c>
      <c r="AD566" s="417"/>
      <c r="AE566" s="417"/>
      <c r="AF566" s="417"/>
      <c r="AG566" s="417"/>
      <c r="AH566" s="417"/>
      <c r="AI566" s="417"/>
      <c r="AJ566" s="417"/>
      <c r="AK566" s="436"/>
      <c r="AL566" s="822"/>
    </row>
    <row r="567" spans="1:38" s="33" customFormat="1" hidden="1" outlineLevel="1">
      <c r="A567" s="1150"/>
      <c r="B567" s="823"/>
      <c r="C567" s="373" t="str">
        <f>+C566</f>
        <v>CUNDINAMARCA</v>
      </c>
      <c r="D567" s="31">
        <f>+VLOOKUP(E567,Codigos!$A$1:$B$1123,2,0)</f>
        <v>25898</v>
      </c>
      <c r="E567" s="1113" t="s">
        <v>997</v>
      </c>
      <c r="F567" s="1104">
        <v>1</v>
      </c>
      <c r="G567" s="375">
        <v>0</v>
      </c>
      <c r="H567" s="1062">
        <v>50</v>
      </c>
      <c r="I567" s="1057" t="s">
        <v>997</v>
      </c>
      <c r="J567" s="1058">
        <v>50</v>
      </c>
      <c r="K567" s="1070" t="str">
        <f t="shared" si="38"/>
        <v>Ok</v>
      </c>
      <c r="L567" s="1077">
        <f t="shared" si="39"/>
        <v>0</v>
      </c>
      <c r="M567" s="1091">
        <f>+H567/'Parametros Generales'!$C$8</f>
        <v>2</v>
      </c>
      <c r="N567" s="1098"/>
      <c r="O567" s="1098"/>
      <c r="P567" s="1098"/>
      <c r="Q567" s="1098"/>
      <c r="R567" s="1098">
        <f>+(M567/'Parametros Generales'!$C$9)</f>
        <v>0.5</v>
      </c>
      <c r="S567" s="395"/>
      <c r="T567" s="395"/>
      <c r="U567" s="395"/>
      <c r="V567" s="396"/>
      <c r="W567" s="376">
        <f>+R567*'Componentes T.H.'!$Q$9*'Parametros Generales'!$C$6</f>
        <v>2509253.5355000002</v>
      </c>
      <c r="X567" s="376">
        <f>(+VLOOKUP(C567,'Transporte y Viaticos'!$B$87:$L$120,2,0)*'Parametros Generales'!$C$7*R567)*(2/3)</f>
        <v>398218.07133057469</v>
      </c>
      <c r="Y567" s="417"/>
      <c r="Z567" s="417"/>
      <c r="AA567" s="417"/>
      <c r="AB567" s="417">
        <f>+M567*'Parametros Generales'!$C$6*'Parametros Generales'!$J$9</f>
        <v>973818.18181818211</v>
      </c>
      <c r="AC567" s="417">
        <f>+H567*'Parametros Generales'!$J$10*'Parametros Generales'!$C$6*'Parametros Generales'!$C$11</f>
        <v>3684624.6918504061</v>
      </c>
      <c r="AD567" s="417"/>
      <c r="AE567" s="417"/>
      <c r="AF567" s="417"/>
      <c r="AG567" s="417"/>
      <c r="AH567" s="417"/>
      <c r="AI567" s="417"/>
      <c r="AJ567" s="417"/>
      <c r="AK567" s="436"/>
      <c r="AL567" s="822"/>
    </row>
    <row r="568" spans="1:38" s="33" customFormat="1" hidden="1" outlineLevel="1">
      <c r="A568" s="1150"/>
      <c r="B568" s="823">
        <f>+B566</f>
        <v>25</v>
      </c>
      <c r="C568" s="373" t="str">
        <f>+C566</f>
        <v>CUNDINAMARCA</v>
      </c>
      <c r="D568" s="31">
        <f>+VLOOKUP(E568,Codigos!$A$1:$B$1123,2,0)</f>
        <v>25899</v>
      </c>
      <c r="E568" s="1113" t="s">
        <v>1962</v>
      </c>
      <c r="F568" s="1104">
        <v>1</v>
      </c>
      <c r="G568" s="375">
        <v>198</v>
      </c>
      <c r="H568" s="1062">
        <f>CEILING(G568,'Parametros Generales'!$C$8)</f>
        <v>200</v>
      </c>
      <c r="I568" s="1057" t="s">
        <v>390</v>
      </c>
      <c r="J568" s="1058">
        <v>200</v>
      </c>
      <c r="K568" s="1070" t="str">
        <f t="shared" si="38"/>
        <v>Ok</v>
      </c>
      <c r="L568" s="1077">
        <f t="shared" si="39"/>
        <v>0</v>
      </c>
      <c r="M568" s="1091">
        <f>+H568/'Parametros Generales'!$C$8</f>
        <v>8</v>
      </c>
      <c r="N568" s="1098"/>
      <c r="O568" s="1098"/>
      <c r="P568" s="1098"/>
      <c r="Q568" s="1098"/>
      <c r="R568" s="1098">
        <f>+(M568/'Parametros Generales'!$C$9)</f>
        <v>2</v>
      </c>
      <c r="S568" s="395"/>
      <c r="T568" s="395"/>
      <c r="U568" s="395"/>
      <c r="V568" s="396"/>
      <c r="W568" s="376">
        <f>+R568*'Componentes T.H.'!$Q$9*'Parametros Generales'!$C$6</f>
        <v>10037014.142000001</v>
      </c>
      <c r="X568" s="376">
        <f>(+VLOOKUP(C568,'Transporte y Viaticos'!$B$87:$L$120,2,0)*'Parametros Generales'!$C$7*R568)*(2/3)</f>
        <v>1592872.2853222988</v>
      </c>
      <c r="Y568" s="417"/>
      <c r="Z568" s="417"/>
      <c r="AA568" s="417"/>
      <c r="AB568" s="417">
        <f>+M568*'Parametros Generales'!$C$6*'Parametros Generales'!$J$9</f>
        <v>3895272.7272727285</v>
      </c>
      <c r="AC568" s="417">
        <f>+H568*'Parametros Generales'!$J$10*'Parametros Generales'!$C$6*'Parametros Generales'!$C$11</f>
        <v>14738498.767401624</v>
      </c>
      <c r="AD568" s="417"/>
      <c r="AE568" s="417"/>
      <c r="AF568" s="417"/>
      <c r="AG568" s="417"/>
      <c r="AH568" s="417"/>
      <c r="AI568" s="417"/>
      <c r="AJ568" s="417"/>
      <c r="AK568" s="436"/>
      <c r="AL568" s="822"/>
    </row>
    <row r="569" spans="1:38" s="33" customFormat="1" hidden="1" outlineLevel="1">
      <c r="A569" s="1150"/>
      <c r="B569" s="823">
        <f t="shared" si="42"/>
        <v>25</v>
      </c>
      <c r="C569" s="373" t="str">
        <f t="shared" ref="C569:C581" si="43">+C568</f>
        <v>CUNDINAMARCA</v>
      </c>
      <c r="D569" s="374"/>
      <c r="E569" s="1113"/>
      <c r="F569" s="1104"/>
      <c r="G569" s="375"/>
      <c r="H569" s="1062"/>
      <c r="I569" s="1057"/>
      <c r="J569" s="1058"/>
      <c r="K569" s="1070" t="str">
        <f t="shared" si="38"/>
        <v>Ok</v>
      </c>
      <c r="L569" s="1077">
        <f t="shared" si="39"/>
        <v>0</v>
      </c>
      <c r="M569" s="1091">
        <f>+H569/'Parametros Generales'!$C$8</f>
        <v>0</v>
      </c>
      <c r="N569" s="1098"/>
      <c r="O569" s="1098"/>
      <c r="P569" s="1098"/>
      <c r="Q569" s="1098"/>
      <c r="R569" s="1098">
        <f>+(M569/'Parametros Generales'!$C$9)</f>
        <v>0</v>
      </c>
      <c r="S569" s="395"/>
      <c r="T569" s="395"/>
      <c r="U569" s="395"/>
      <c r="V569" s="396"/>
      <c r="W569" s="376">
        <f>+R569*'Componentes T.H.'!$Q$9*'Parametros Generales'!$C$6</f>
        <v>0</v>
      </c>
      <c r="X569" s="376">
        <f>(+VLOOKUP(C569,'Transporte y Viaticos'!$B$87:$L$120,2,0)*'Parametros Generales'!$C$7*R569)*(2/3)</f>
        <v>0</v>
      </c>
      <c r="Y569" s="417"/>
      <c r="Z569" s="417"/>
      <c r="AA569" s="417"/>
      <c r="AB569" s="417">
        <f>+M569*'Parametros Generales'!$C$6*'Parametros Generales'!$J$9</f>
        <v>0</v>
      </c>
      <c r="AC569" s="417">
        <f>+H569*'Parametros Generales'!$J$10*'Parametros Generales'!$C$6*'Parametros Generales'!$C$11</f>
        <v>0</v>
      </c>
      <c r="AD569" s="417"/>
      <c r="AE569" s="417"/>
      <c r="AF569" s="417"/>
      <c r="AG569" s="417"/>
      <c r="AH569" s="417"/>
      <c r="AI569" s="417"/>
      <c r="AJ569" s="417"/>
      <c r="AK569" s="436"/>
      <c r="AL569" s="822"/>
    </row>
    <row r="570" spans="1:38" s="33" customFormat="1" hidden="1" outlineLevel="1">
      <c r="A570" s="1150"/>
      <c r="B570" s="823">
        <f t="shared" si="42"/>
        <v>25</v>
      </c>
      <c r="C570" s="373" t="str">
        <f t="shared" si="43"/>
        <v>CUNDINAMARCA</v>
      </c>
      <c r="D570" s="374"/>
      <c r="E570" s="1113"/>
      <c r="F570" s="1104"/>
      <c r="G570" s="375"/>
      <c r="H570" s="1062"/>
      <c r="I570" s="1057"/>
      <c r="J570" s="1058"/>
      <c r="K570" s="1070" t="str">
        <f t="shared" si="38"/>
        <v>Ok</v>
      </c>
      <c r="L570" s="1077">
        <f t="shared" si="39"/>
        <v>0</v>
      </c>
      <c r="M570" s="1091">
        <f>+H570/'Parametros Generales'!$C$8</f>
        <v>0</v>
      </c>
      <c r="N570" s="1098"/>
      <c r="O570" s="1098"/>
      <c r="P570" s="1098"/>
      <c r="Q570" s="1098"/>
      <c r="R570" s="1098">
        <f>+(M570/'Parametros Generales'!$C$9)</f>
        <v>0</v>
      </c>
      <c r="S570" s="395"/>
      <c r="T570" s="395"/>
      <c r="U570" s="395"/>
      <c r="V570" s="396"/>
      <c r="W570" s="376">
        <f>+R570*'Componentes T.H.'!$Q$9*'Parametros Generales'!$C$6</f>
        <v>0</v>
      </c>
      <c r="X570" s="376">
        <f>(+VLOOKUP(C570,'Transporte y Viaticos'!$B$87:$L$120,2,0)*'Parametros Generales'!$C$7*R570)*(2/3)</f>
        <v>0</v>
      </c>
      <c r="Y570" s="417"/>
      <c r="Z570" s="417"/>
      <c r="AA570" s="417"/>
      <c r="AB570" s="417">
        <f>+M570*'Parametros Generales'!$C$6*'Parametros Generales'!$J$9</f>
        <v>0</v>
      </c>
      <c r="AC570" s="417">
        <f>+H570*'Parametros Generales'!$J$10*'Parametros Generales'!$C$6*'Parametros Generales'!$C$11</f>
        <v>0</v>
      </c>
      <c r="AD570" s="417"/>
      <c r="AE570" s="417"/>
      <c r="AF570" s="417"/>
      <c r="AG570" s="417"/>
      <c r="AH570" s="417"/>
      <c r="AI570" s="417"/>
      <c r="AJ570" s="417"/>
      <c r="AK570" s="436"/>
      <c r="AL570" s="822"/>
    </row>
    <row r="571" spans="1:38" s="33" customFormat="1" hidden="1" outlineLevel="1">
      <c r="A571" s="1150"/>
      <c r="B571" s="823">
        <f t="shared" si="42"/>
        <v>25</v>
      </c>
      <c r="C571" s="373" t="str">
        <f t="shared" si="43"/>
        <v>CUNDINAMARCA</v>
      </c>
      <c r="D571" s="374"/>
      <c r="E571" s="1113"/>
      <c r="F571" s="1104"/>
      <c r="G571" s="375"/>
      <c r="H571" s="1062"/>
      <c r="I571" s="1057"/>
      <c r="J571" s="1058"/>
      <c r="K571" s="1070" t="str">
        <f t="shared" si="38"/>
        <v>Ok</v>
      </c>
      <c r="L571" s="1077">
        <f t="shared" si="39"/>
        <v>0</v>
      </c>
      <c r="M571" s="1091">
        <f>+H571/'Parametros Generales'!$C$8</f>
        <v>0</v>
      </c>
      <c r="N571" s="1098"/>
      <c r="O571" s="1098"/>
      <c r="P571" s="1098"/>
      <c r="Q571" s="1098"/>
      <c r="R571" s="1098">
        <f>+(M571/'Parametros Generales'!$C$9)</f>
        <v>0</v>
      </c>
      <c r="S571" s="395"/>
      <c r="T571" s="395"/>
      <c r="U571" s="395"/>
      <c r="V571" s="396"/>
      <c r="W571" s="376">
        <f>+R571*'Componentes T.H.'!$Q$9*'Parametros Generales'!$C$6</f>
        <v>0</v>
      </c>
      <c r="X571" s="376">
        <f>(+VLOOKUP(C571,'Transporte y Viaticos'!$B$87:$L$120,2,0)*'Parametros Generales'!$C$7*R571)*(2/3)</f>
        <v>0</v>
      </c>
      <c r="Y571" s="417"/>
      <c r="Z571" s="417"/>
      <c r="AA571" s="417"/>
      <c r="AB571" s="417">
        <f>+M571*'Parametros Generales'!$C$6*'Parametros Generales'!$J$9</f>
        <v>0</v>
      </c>
      <c r="AC571" s="417">
        <f>+H571*'Parametros Generales'!$J$10*'Parametros Generales'!$C$6*'Parametros Generales'!$C$11</f>
        <v>0</v>
      </c>
      <c r="AD571" s="417"/>
      <c r="AE571" s="417"/>
      <c r="AF571" s="417"/>
      <c r="AG571" s="417"/>
      <c r="AH571" s="417"/>
      <c r="AI571" s="417"/>
      <c r="AJ571" s="417"/>
      <c r="AK571" s="436"/>
      <c r="AL571" s="822"/>
    </row>
    <row r="572" spans="1:38" s="33" customFormat="1" hidden="1" outlineLevel="1">
      <c r="A572" s="1150"/>
      <c r="B572" s="823"/>
      <c r="C572" s="373" t="str">
        <f t="shared" si="43"/>
        <v>CUNDINAMARCA</v>
      </c>
      <c r="D572" s="374"/>
      <c r="E572" s="1113"/>
      <c r="F572" s="1104"/>
      <c r="G572" s="375"/>
      <c r="H572" s="1062"/>
      <c r="I572" s="1057"/>
      <c r="J572" s="1058"/>
      <c r="K572" s="1070" t="str">
        <f t="shared" si="38"/>
        <v>Ok</v>
      </c>
      <c r="L572" s="1077">
        <f t="shared" si="39"/>
        <v>0</v>
      </c>
      <c r="M572" s="1091">
        <f>+H572/'Parametros Generales'!$C$8</f>
        <v>0</v>
      </c>
      <c r="N572" s="1098"/>
      <c r="O572" s="1098"/>
      <c r="P572" s="1098"/>
      <c r="Q572" s="1098"/>
      <c r="R572" s="1098">
        <f>+(M572/'Parametros Generales'!$C$9)</f>
        <v>0</v>
      </c>
      <c r="S572" s="395"/>
      <c r="T572" s="395"/>
      <c r="U572" s="395"/>
      <c r="V572" s="396"/>
      <c r="W572" s="376">
        <f>+R572*'Componentes T.H.'!$Q$9*'Parametros Generales'!$C$6</f>
        <v>0</v>
      </c>
      <c r="X572" s="376">
        <f>(+VLOOKUP(C572,'Transporte y Viaticos'!$B$87:$L$120,2,0)*'Parametros Generales'!$C$7*R572)*(2/3)</f>
        <v>0</v>
      </c>
      <c r="Y572" s="417"/>
      <c r="Z572" s="417"/>
      <c r="AA572" s="417"/>
      <c r="AB572" s="417">
        <f>+M572*'Parametros Generales'!$C$6*'Parametros Generales'!$J$9</f>
        <v>0</v>
      </c>
      <c r="AC572" s="417">
        <f>+H572*'Parametros Generales'!$J$10*'Parametros Generales'!$C$6*'Parametros Generales'!$C$11</f>
        <v>0</v>
      </c>
      <c r="AD572" s="417"/>
      <c r="AE572" s="417"/>
      <c r="AF572" s="417"/>
      <c r="AG572" s="417"/>
      <c r="AH572" s="417"/>
      <c r="AI572" s="417"/>
      <c r="AJ572" s="417"/>
      <c r="AK572" s="436"/>
      <c r="AL572" s="822"/>
    </row>
    <row r="573" spans="1:38" s="33" customFormat="1" hidden="1" outlineLevel="1">
      <c r="A573" s="1150"/>
      <c r="B573" s="823"/>
      <c r="C573" s="373" t="str">
        <f t="shared" si="43"/>
        <v>CUNDINAMARCA</v>
      </c>
      <c r="D573" s="374"/>
      <c r="E573" s="1113"/>
      <c r="F573" s="1104"/>
      <c r="G573" s="375"/>
      <c r="H573" s="1062"/>
      <c r="I573" s="1057"/>
      <c r="J573" s="1058"/>
      <c r="K573" s="1070" t="str">
        <f t="shared" si="38"/>
        <v>Ok</v>
      </c>
      <c r="L573" s="1077">
        <f t="shared" si="39"/>
        <v>0</v>
      </c>
      <c r="M573" s="1091">
        <f>+H573/'Parametros Generales'!$C$8</f>
        <v>0</v>
      </c>
      <c r="N573" s="1098"/>
      <c r="O573" s="1098"/>
      <c r="P573" s="1098"/>
      <c r="Q573" s="1098"/>
      <c r="R573" s="1098">
        <f>+(M573/'Parametros Generales'!$C$9)</f>
        <v>0</v>
      </c>
      <c r="S573" s="395"/>
      <c r="T573" s="395"/>
      <c r="U573" s="395"/>
      <c r="V573" s="396"/>
      <c r="W573" s="376">
        <f>+R573*'Componentes T.H.'!$Q$9*'Parametros Generales'!$C$6</f>
        <v>0</v>
      </c>
      <c r="X573" s="376">
        <f>(+VLOOKUP(C573,'Transporte y Viaticos'!$B$87:$L$120,2,0)*'Parametros Generales'!$C$7*R573)*(2/3)</f>
        <v>0</v>
      </c>
      <c r="Y573" s="417"/>
      <c r="Z573" s="417"/>
      <c r="AA573" s="417"/>
      <c r="AB573" s="417">
        <f>+M573*'Parametros Generales'!$C$6*'Parametros Generales'!$J$9</f>
        <v>0</v>
      </c>
      <c r="AC573" s="417">
        <f>+H573*'Parametros Generales'!$J$10*'Parametros Generales'!$C$6*'Parametros Generales'!$C$11</f>
        <v>0</v>
      </c>
      <c r="AD573" s="417"/>
      <c r="AE573" s="417"/>
      <c r="AF573" s="417"/>
      <c r="AG573" s="417"/>
      <c r="AH573" s="417"/>
      <c r="AI573" s="417"/>
      <c r="AJ573" s="417"/>
      <c r="AK573" s="436"/>
      <c r="AL573" s="822"/>
    </row>
    <row r="574" spans="1:38" s="33" customFormat="1" hidden="1" outlineLevel="1">
      <c r="A574" s="1150"/>
      <c r="B574" s="823"/>
      <c r="C574" s="373" t="str">
        <f t="shared" si="43"/>
        <v>CUNDINAMARCA</v>
      </c>
      <c r="D574" s="374"/>
      <c r="E574" s="1113"/>
      <c r="F574" s="1104"/>
      <c r="G574" s="375"/>
      <c r="H574" s="1062"/>
      <c r="I574" s="1057"/>
      <c r="J574" s="1058"/>
      <c r="K574" s="1070" t="str">
        <f t="shared" si="38"/>
        <v>Ok</v>
      </c>
      <c r="L574" s="1077">
        <f t="shared" si="39"/>
        <v>0</v>
      </c>
      <c r="M574" s="1091">
        <f>+H574/'Parametros Generales'!$C$8</f>
        <v>0</v>
      </c>
      <c r="N574" s="1098"/>
      <c r="O574" s="1098"/>
      <c r="P574" s="1098"/>
      <c r="Q574" s="1098"/>
      <c r="R574" s="1098">
        <f>+(M574/'Parametros Generales'!$C$9)</f>
        <v>0</v>
      </c>
      <c r="S574" s="395"/>
      <c r="T574" s="395"/>
      <c r="U574" s="395"/>
      <c r="V574" s="396"/>
      <c r="W574" s="376">
        <f>+R574*'Componentes T.H.'!$Q$9*'Parametros Generales'!$C$6</f>
        <v>0</v>
      </c>
      <c r="X574" s="376">
        <f>(+VLOOKUP(C574,'Transporte y Viaticos'!$B$87:$L$120,2,0)*'Parametros Generales'!$C$7*R574)*(2/3)</f>
        <v>0</v>
      </c>
      <c r="Y574" s="417"/>
      <c r="Z574" s="417"/>
      <c r="AA574" s="417"/>
      <c r="AB574" s="417">
        <f>+M574*'Parametros Generales'!$C$6*'Parametros Generales'!$J$9</f>
        <v>0</v>
      </c>
      <c r="AC574" s="417">
        <f>+H574*'Parametros Generales'!$J$10*'Parametros Generales'!$C$6*'Parametros Generales'!$C$11</f>
        <v>0</v>
      </c>
      <c r="AD574" s="417"/>
      <c r="AE574" s="417"/>
      <c r="AF574" s="417"/>
      <c r="AG574" s="417"/>
      <c r="AH574" s="417"/>
      <c r="AI574" s="417"/>
      <c r="AJ574" s="417"/>
      <c r="AK574" s="436"/>
      <c r="AL574" s="822"/>
    </row>
    <row r="575" spans="1:38" s="33" customFormat="1" hidden="1" outlineLevel="1">
      <c r="A575" s="1150"/>
      <c r="B575" s="823">
        <f>+B571</f>
        <v>25</v>
      </c>
      <c r="C575" s="373" t="str">
        <f t="shared" si="43"/>
        <v>CUNDINAMARCA</v>
      </c>
      <c r="D575" s="374"/>
      <c r="E575" s="1113"/>
      <c r="F575" s="1104"/>
      <c r="G575" s="375"/>
      <c r="H575" s="1062"/>
      <c r="I575" s="1057"/>
      <c r="J575" s="1058"/>
      <c r="K575" s="1070" t="str">
        <f t="shared" si="38"/>
        <v>Ok</v>
      </c>
      <c r="L575" s="1077">
        <f t="shared" si="39"/>
        <v>0</v>
      </c>
      <c r="M575" s="1091">
        <f>+H575/'Parametros Generales'!$C$8</f>
        <v>0</v>
      </c>
      <c r="N575" s="1098"/>
      <c r="O575" s="1098"/>
      <c r="P575" s="1098"/>
      <c r="Q575" s="1098"/>
      <c r="R575" s="1098">
        <f>+(M575/'Parametros Generales'!$C$9)</f>
        <v>0</v>
      </c>
      <c r="S575" s="395"/>
      <c r="T575" s="395"/>
      <c r="U575" s="395"/>
      <c r="V575" s="396"/>
      <c r="W575" s="376">
        <f>+R575*'Componentes T.H.'!$Q$9*'Parametros Generales'!$C$6</f>
        <v>0</v>
      </c>
      <c r="X575" s="376">
        <f>(+VLOOKUP(C575,'Transporte y Viaticos'!$B$87:$L$120,2,0)*'Parametros Generales'!$C$7*R575)*(2/3)</f>
        <v>0</v>
      </c>
      <c r="Y575" s="417"/>
      <c r="Z575" s="417"/>
      <c r="AA575" s="417"/>
      <c r="AB575" s="417">
        <f>+M575*'Parametros Generales'!$C$6*'Parametros Generales'!$J$9</f>
        <v>0</v>
      </c>
      <c r="AC575" s="417">
        <f>+H575*'Parametros Generales'!$J$10*'Parametros Generales'!$C$6*'Parametros Generales'!$C$11</f>
        <v>0</v>
      </c>
      <c r="AD575" s="417"/>
      <c r="AE575" s="417"/>
      <c r="AF575" s="417"/>
      <c r="AG575" s="417"/>
      <c r="AH575" s="417"/>
      <c r="AI575" s="417"/>
      <c r="AJ575" s="417"/>
      <c r="AK575" s="436"/>
      <c r="AL575" s="822"/>
    </row>
    <row r="576" spans="1:38" s="33" customFormat="1" hidden="1" outlineLevel="1">
      <c r="A576" s="1150"/>
      <c r="B576" s="823">
        <f t="shared" si="42"/>
        <v>25</v>
      </c>
      <c r="C576" s="373" t="str">
        <f t="shared" si="43"/>
        <v>CUNDINAMARCA</v>
      </c>
      <c r="D576" s="374"/>
      <c r="E576" s="1113"/>
      <c r="F576" s="1104"/>
      <c r="G576" s="375"/>
      <c r="H576" s="1062"/>
      <c r="I576" s="1057"/>
      <c r="J576" s="1058"/>
      <c r="K576" s="1070" t="str">
        <f t="shared" si="38"/>
        <v>Ok</v>
      </c>
      <c r="L576" s="1077">
        <f t="shared" si="39"/>
        <v>0</v>
      </c>
      <c r="M576" s="1091">
        <f>+H576/'Parametros Generales'!$C$8</f>
        <v>0</v>
      </c>
      <c r="N576" s="1098"/>
      <c r="O576" s="1098"/>
      <c r="P576" s="1098"/>
      <c r="Q576" s="1098"/>
      <c r="R576" s="1098">
        <f>+(M576/'Parametros Generales'!$C$9)</f>
        <v>0</v>
      </c>
      <c r="S576" s="395"/>
      <c r="T576" s="395"/>
      <c r="U576" s="395"/>
      <c r="V576" s="396"/>
      <c r="W576" s="376">
        <f>+R576*'Componentes T.H.'!$Q$9*'Parametros Generales'!$C$6</f>
        <v>0</v>
      </c>
      <c r="X576" s="376">
        <f>(+VLOOKUP(C576,'Transporte y Viaticos'!$B$87:$L$120,2,0)*'Parametros Generales'!$C$7*R576)*(2/3)</f>
        <v>0</v>
      </c>
      <c r="Y576" s="417"/>
      <c r="Z576" s="417"/>
      <c r="AA576" s="417"/>
      <c r="AB576" s="417">
        <f>+M576*'Parametros Generales'!$C$6*'Parametros Generales'!$J$9</f>
        <v>0</v>
      </c>
      <c r="AC576" s="417">
        <f>+H576*'Parametros Generales'!$J$10*'Parametros Generales'!$C$6*'Parametros Generales'!$C$11</f>
        <v>0</v>
      </c>
      <c r="AD576" s="417"/>
      <c r="AE576" s="417"/>
      <c r="AF576" s="417"/>
      <c r="AG576" s="417"/>
      <c r="AH576" s="417"/>
      <c r="AI576" s="417"/>
      <c r="AJ576" s="417"/>
      <c r="AK576" s="436"/>
      <c r="AL576" s="822"/>
    </row>
    <row r="577" spans="1:38" s="33" customFormat="1" hidden="1" outlineLevel="1">
      <c r="A577" s="1150"/>
      <c r="B577" s="823">
        <f t="shared" si="42"/>
        <v>25</v>
      </c>
      <c r="C577" s="373" t="str">
        <f t="shared" si="43"/>
        <v>CUNDINAMARCA</v>
      </c>
      <c r="D577" s="374"/>
      <c r="E577" s="1113"/>
      <c r="F577" s="1104"/>
      <c r="G577" s="375"/>
      <c r="H577" s="1062"/>
      <c r="I577" s="1057"/>
      <c r="J577" s="1058"/>
      <c r="K577" s="1070" t="str">
        <f t="shared" si="38"/>
        <v>Ok</v>
      </c>
      <c r="L577" s="1077">
        <f t="shared" si="39"/>
        <v>0</v>
      </c>
      <c r="M577" s="1091">
        <f>+H577/'Parametros Generales'!$C$8</f>
        <v>0</v>
      </c>
      <c r="N577" s="1098"/>
      <c r="O577" s="1098"/>
      <c r="P577" s="1098"/>
      <c r="Q577" s="1098"/>
      <c r="R577" s="1098">
        <f>+(M577/'Parametros Generales'!$C$9)</f>
        <v>0</v>
      </c>
      <c r="S577" s="395"/>
      <c r="T577" s="395"/>
      <c r="U577" s="395"/>
      <c r="V577" s="396"/>
      <c r="W577" s="376">
        <f>+R577*'Componentes T.H.'!$Q$9*'Parametros Generales'!$C$6</f>
        <v>0</v>
      </c>
      <c r="X577" s="376">
        <f>(+VLOOKUP(C577,'Transporte y Viaticos'!$B$87:$L$120,2,0)*'Parametros Generales'!$C$7*R577)*(2/3)</f>
        <v>0</v>
      </c>
      <c r="Y577" s="417"/>
      <c r="Z577" s="417"/>
      <c r="AA577" s="417"/>
      <c r="AB577" s="417">
        <f>+M577*'Parametros Generales'!$C$6*'Parametros Generales'!$J$9</f>
        <v>0</v>
      </c>
      <c r="AC577" s="417">
        <f>+H577*'Parametros Generales'!$J$10*'Parametros Generales'!$C$6*'Parametros Generales'!$C$11</f>
        <v>0</v>
      </c>
      <c r="AD577" s="417"/>
      <c r="AE577" s="417"/>
      <c r="AF577" s="417"/>
      <c r="AG577" s="417"/>
      <c r="AH577" s="417"/>
      <c r="AI577" s="417"/>
      <c r="AJ577" s="417"/>
      <c r="AK577" s="436"/>
      <c r="AL577" s="822"/>
    </row>
    <row r="578" spans="1:38" s="33" customFormat="1" hidden="1" outlineLevel="1">
      <c r="A578" s="1150"/>
      <c r="B578" s="823">
        <f>+B577</f>
        <v>25</v>
      </c>
      <c r="C578" s="373" t="str">
        <f t="shared" si="43"/>
        <v>CUNDINAMARCA</v>
      </c>
      <c r="D578" s="374"/>
      <c r="E578" s="1113"/>
      <c r="F578" s="1104"/>
      <c r="G578" s="375"/>
      <c r="H578" s="1062"/>
      <c r="I578" s="1057"/>
      <c r="J578" s="1058"/>
      <c r="K578" s="1070" t="str">
        <f t="shared" ref="K578:K641" si="44">+IF(I578=E578,"Ok","Rev")</f>
        <v>Ok</v>
      </c>
      <c r="L578" s="1077">
        <f t="shared" ref="L578:L641" si="45">+J578-H578</f>
        <v>0</v>
      </c>
      <c r="M578" s="1091">
        <f>+H578/'Parametros Generales'!$C$8</f>
        <v>0</v>
      </c>
      <c r="N578" s="1098"/>
      <c r="O578" s="1098"/>
      <c r="P578" s="1098"/>
      <c r="Q578" s="1098"/>
      <c r="R578" s="1098">
        <f>+(M578/'Parametros Generales'!$C$9)</f>
        <v>0</v>
      </c>
      <c r="S578" s="395"/>
      <c r="T578" s="395"/>
      <c r="U578" s="395"/>
      <c r="V578" s="396"/>
      <c r="W578" s="376">
        <f>+R578*'Componentes T.H.'!$Q$9*'Parametros Generales'!$C$6</f>
        <v>0</v>
      </c>
      <c r="X578" s="376">
        <f>(+VLOOKUP(C578,'Transporte y Viaticos'!$B$87:$L$120,2,0)*'Parametros Generales'!$C$7*R578)*(2/3)</f>
        <v>0</v>
      </c>
      <c r="Y578" s="417"/>
      <c r="Z578" s="417"/>
      <c r="AA578" s="417"/>
      <c r="AB578" s="417">
        <f>+M578*'Parametros Generales'!$C$6*'Parametros Generales'!$J$9</f>
        <v>0</v>
      </c>
      <c r="AC578" s="417">
        <f>+H578*'Parametros Generales'!$J$10*'Parametros Generales'!$C$6*'Parametros Generales'!$C$11</f>
        <v>0</v>
      </c>
      <c r="AD578" s="417"/>
      <c r="AE578" s="417"/>
      <c r="AF578" s="417"/>
      <c r="AG578" s="417"/>
      <c r="AH578" s="417"/>
      <c r="AI578" s="417"/>
      <c r="AJ578" s="417"/>
      <c r="AK578" s="436"/>
      <c r="AL578" s="822"/>
    </row>
    <row r="579" spans="1:38" s="33" customFormat="1" hidden="1" outlineLevel="1">
      <c r="A579" s="1150"/>
      <c r="B579" s="823">
        <f t="shared" si="42"/>
        <v>25</v>
      </c>
      <c r="C579" s="373" t="str">
        <f t="shared" si="43"/>
        <v>CUNDINAMARCA</v>
      </c>
      <c r="D579" s="374"/>
      <c r="E579" s="1113"/>
      <c r="F579" s="1104"/>
      <c r="G579" s="375"/>
      <c r="H579" s="1062"/>
      <c r="I579" s="1057"/>
      <c r="J579" s="1058"/>
      <c r="K579" s="1070" t="str">
        <f t="shared" si="44"/>
        <v>Ok</v>
      </c>
      <c r="L579" s="1077">
        <f t="shared" si="45"/>
        <v>0</v>
      </c>
      <c r="M579" s="1091">
        <f>+H579/'Parametros Generales'!$C$8</f>
        <v>0</v>
      </c>
      <c r="N579" s="1098"/>
      <c r="O579" s="1098"/>
      <c r="P579" s="1098"/>
      <c r="Q579" s="1098"/>
      <c r="R579" s="1098">
        <f>+(M579/'Parametros Generales'!$C$9)</f>
        <v>0</v>
      </c>
      <c r="S579" s="395"/>
      <c r="T579" s="395"/>
      <c r="U579" s="395"/>
      <c r="V579" s="396"/>
      <c r="W579" s="376">
        <f>+R579*'Componentes T.H.'!$Q$9*'Parametros Generales'!$C$6</f>
        <v>0</v>
      </c>
      <c r="X579" s="376">
        <f>(+VLOOKUP(C579,'Transporte y Viaticos'!$B$87:$L$120,2,0)*'Parametros Generales'!$C$7*R579)*(2/3)</f>
        <v>0</v>
      </c>
      <c r="Y579" s="417"/>
      <c r="Z579" s="417"/>
      <c r="AA579" s="417"/>
      <c r="AB579" s="417">
        <f>+M579*'Parametros Generales'!$C$6*'Parametros Generales'!$J$9</f>
        <v>0</v>
      </c>
      <c r="AC579" s="417">
        <f>+H579*'Parametros Generales'!$J$10*'Parametros Generales'!$C$6*'Parametros Generales'!$C$11</f>
        <v>0</v>
      </c>
      <c r="AD579" s="417"/>
      <c r="AE579" s="417"/>
      <c r="AF579" s="417"/>
      <c r="AG579" s="417"/>
      <c r="AH579" s="417"/>
      <c r="AI579" s="417"/>
      <c r="AJ579" s="417"/>
      <c r="AK579" s="436"/>
      <c r="AL579" s="822"/>
    </row>
    <row r="580" spans="1:38" s="33" customFormat="1" hidden="1" outlineLevel="1">
      <c r="A580" s="1150"/>
      <c r="B580" s="823">
        <f t="shared" si="42"/>
        <v>25</v>
      </c>
      <c r="C580" s="373" t="str">
        <f t="shared" si="43"/>
        <v>CUNDINAMARCA</v>
      </c>
      <c r="D580" s="374"/>
      <c r="E580" s="1113"/>
      <c r="F580" s="1104"/>
      <c r="G580" s="375"/>
      <c r="H580" s="1062"/>
      <c r="I580" s="1057"/>
      <c r="J580" s="1058"/>
      <c r="K580" s="1070" t="str">
        <f t="shared" si="44"/>
        <v>Ok</v>
      </c>
      <c r="L580" s="1077">
        <f t="shared" si="45"/>
        <v>0</v>
      </c>
      <c r="M580" s="1091">
        <f>+H580/'Parametros Generales'!$C$8</f>
        <v>0</v>
      </c>
      <c r="N580" s="1098"/>
      <c r="O580" s="1098"/>
      <c r="P580" s="1098"/>
      <c r="Q580" s="1098"/>
      <c r="R580" s="1098">
        <f>+(M580/'Parametros Generales'!$C$9)</f>
        <v>0</v>
      </c>
      <c r="S580" s="395"/>
      <c r="T580" s="395"/>
      <c r="U580" s="395"/>
      <c r="V580" s="396"/>
      <c r="W580" s="376">
        <f>+R580*'Componentes T.H.'!$Q$9*'Parametros Generales'!$C$6</f>
        <v>0</v>
      </c>
      <c r="X580" s="376">
        <f>(+VLOOKUP(C580,'Transporte y Viaticos'!$B$87:$L$120,2,0)*'Parametros Generales'!$C$7*R580)*(2/3)</f>
        <v>0</v>
      </c>
      <c r="Y580" s="417"/>
      <c r="Z580" s="417"/>
      <c r="AA580" s="417"/>
      <c r="AB580" s="417">
        <f>+M580*'Parametros Generales'!$C$6*'Parametros Generales'!$J$9</f>
        <v>0</v>
      </c>
      <c r="AC580" s="417">
        <f>+H580*'Parametros Generales'!$J$10*'Parametros Generales'!$C$6*'Parametros Generales'!$C$11</f>
        <v>0</v>
      </c>
      <c r="AD580" s="417"/>
      <c r="AE580" s="417"/>
      <c r="AF580" s="417"/>
      <c r="AG580" s="417"/>
      <c r="AH580" s="417"/>
      <c r="AI580" s="417"/>
      <c r="AJ580" s="417"/>
      <c r="AK580" s="436"/>
      <c r="AL580" s="822"/>
    </row>
    <row r="581" spans="1:38" s="33" customFormat="1" hidden="1" outlineLevel="1">
      <c r="A581" s="1150"/>
      <c r="B581" s="823">
        <f t="shared" si="42"/>
        <v>25</v>
      </c>
      <c r="C581" s="373" t="str">
        <f t="shared" si="43"/>
        <v>CUNDINAMARCA</v>
      </c>
      <c r="D581" s="374"/>
      <c r="E581" s="1113"/>
      <c r="F581" s="1104"/>
      <c r="G581" s="375"/>
      <c r="H581" s="1062"/>
      <c r="I581" s="1057"/>
      <c r="J581" s="1058"/>
      <c r="K581" s="1070" t="str">
        <f t="shared" si="44"/>
        <v>Ok</v>
      </c>
      <c r="L581" s="1077">
        <f t="shared" si="45"/>
        <v>0</v>
      </c>
      <c r="M581" s="1091">
        <f>+H581/'Parametros Generales'!$C$8</f>
        <v>0</v>
      </c>
      <c r="N581" s="1098"/>
      <c r="O581" s="1098"/>
      <c r="P581" s="1098"/>
      <c r="Q581" s="1098"/>
      <c r="R581" s="1098">
        <f>+(M581/'Parametros Generales'!$C$9)</f>
        <v>0</v>
      </c>
      <c r="S581" s="395"/>
      <c r="T581" s="395"/>
      <c r="U581" s="395"/>
      <c r="V581" s="396"/>
      <c r="W581" s="376">
        <f>+R581*'Componentes T.H.'!$Q$9*'Parametros Generales'!$C$6</f>
        <v>0</v>
      </c>
      <c r="X581" s="376">
        <f>(+VLOOKUP(C581,'Transporte y Viaticos'!$B$87:$L$120,2,0)*'Parametros Generales'!$C$7*R581)*(2/3)</f>
        <v>0</v>
      </c>
      <c r="Y581" s="417"/>
      <c r="Z581" s="417"/>
      <c r="AA581" s="417"/>
      <c r="AB581" s="417">
        <f>+M581*'Parametros Generales'!$C$6*'Parametros Generales'!$J$9</f>
        <v>0</v>
      </c>
      <c r="AC581" s="417">
        <f>+H581*'Parametros Generales'!$J$10*'Parametros Generales'!$C$6*'Parametros Generales'!$C$11</f>
        <v>0</v>
      </c>
      <c r="AD581" s="417"/>
      <c r="AE581" s="417"/>
      <c r="AF581" s="417"/>
      <c r="AG581" s="417"/>
      <c r="AH581" s="417"/>
      <c r="AI581" s="417"/>
      <c r="AJ581" s="417"/>
      <c r="AK581" s="436"/>
      <c r="AL581" s="822"/>
    </row>
    <row r="582" spans="1:38" s="392" customFormat="1" collapsed="1">
      <c r="A582" s="1151">
        <v>12</v>
      </c>
      <c r="B582" s="824">
        <v>27</v>
      </c>
      <c r="C582" s="385" t="s">
        <v>1963</v>
      </c>
      <c r="D582" s="386"/>
      <c r="E582" s="1114" t="s">
        <v>1963</v>
      </c>
      <c r="F582" s="1105">
        <f>SUM(F583:F606)</f>
        <v>24</v>
      </c>
      <c r="G582" s="388">
        <f>+SUM(G583:G606)</f>
        <v>3465</v>
      </c>
      <c r="H582" s="512">
        <f>+SUM(H583:H617)</f>
        <v>6150</v>
      </c>
      <c r="I582" s="1057" t="s">
        <v>1963</v>
      </c>
      <c r="J582" s="1067">
        <v>6150</v>
      </c>
      <c r="K582" s="1069" t="str">
        <f t="shared" si="44"/>
        <v>Ok</v>
      </c>
      <c r="L582" s="1077">
        <f t="shared" si="45"/>
        <v>0</v>
      </c>
      <c r="M582" s="512">
        <f>+SUM(M583:M617)</f>
        <v>246</v>
      </c>
      <c r="N582" s="1073">
        <f>+VLOOKUP(H582,'Parametros Generales'!$B$14:$D$17,3,TRUE)</f>
        <v>0.8</v>
      </c>
      <c r="O582" s="1073">
        <f>+VLOOKUP(H582,'Parametros Generales'!$B$14:$D$17,3,TRUE)</f>
        <v>0.8</v>
      </c>
      <c r="P582" s="1073">
        <f>+VLOOKUP(H582,'Parametros Generales'!$B$14:$D$17,3,TRUE)</f>
        <v>0.8</v>
      </c>
      <c r="Q582" s="1073">
        <f>+R582/'Parametros Generales'!$C$10</f>
        <v>7.6875</v>
      </c>
      <c r="R582" s="512">
        <f>+SUM(R583:R617)</f>
        <v>61.5</v>
      </c>
      <c r="S582" s="390">
        <f>+VLOOKUP(S$1,'Componentes T.H.'!$B$4:$R$22,'Componentes T.H.'!$Q$1,0)*'Parametros Generales'!$C$6*'Cost x Depart'!N582</f>
        <v>11725411.310133336</v>
      </c>
      <c r="T582" s="390">
        <f>+VLOOKUP(T$1,'Componentes T.H.'!$B$4:$R$22,'Componentes T.H.'!$Q$1,0)*'Parametros Generales'!$C$6*'Cost x Depart'!O582</f>
        <v>8835052.5272000004</v>
      </c>
      <c r="U582" s="390">
        <f>+VLOOKUP(U$1,'Componentes T.H.'!$B$4:$R$22,'Componentes T.H.'!$Q$1,0)*'Parametros Generales'!$C$6*'Cost x Depart'!P582</f>
        <v>3912345.6000000001</v>
      </c>
      <c r="V582" s="389">
        <f>+VLOOKUP(V$1,'Componentes T.H.'!$B$4:$R$22,'Componentes T.H.'!$Q$1,0)*'Parametros Generales'!$C$6*'Cost x Depart'!Q582</f>
        <v>76806177.920187503</v>
      </c>
      <c r="W582" s="512">
        <f>+SUM(W583:W617)</f>
        <v>308638184.86650002</v>
      </c>
      <c r="X582" s="512">
        <f>+SUM(X583:X617)</f>
        <v>47873964.972691439</v>
      </c>
      <c r="Y582" s="391">
        <f>+VLOOKUP(C583,'Transporte y Viaticos'!$B$87:$F$120,2,0)*((O582/'Parametros Generales'!$J$14)+(Q582/'Parametros Generales'!$J$15)+(R582/'Parametros Generales'!$J$16))*'Parametros Generales'!$C$6</f>
        <v>2290798.4153853417</v>
      </c>
      <c r="Z582" s="391">
        <f>+(N582+O582+Q582)*'Parametros Generales'!$C$6*'Parametros Generales'!$J$7</f>
        <v>1826108.25</v>
      </c>
      <c r="AA582" s="391">
        <f>+SUM(N582:R582)*'Parametros Generales'!$C$6*'Parametros Generales'!$J$8</f>
        <v>12849956.25</v>
      </c>
      <c r="AB582" s="512">
        <f>+SUM(AB583:AB617)</f>
        <v>119779636.3636364</v>
      </c>
      <c r="AC582" s="512">
        <f>+SUM(AC583:AC617)</f>
        <v>453208837.09759992</v>
      </c>
      <c r="AD582" s="391">
        <f>+'Parametros Generales'!$J$11*SUM(N582:R582)</f>
        <v>2408203.5</v>
      </c>
      <c r="AE582" s="436">
        <f>+SUM(S582:AD582)</f>
        <v>1050154677.073334</v>
      </c>
      <c r="AF582" s="391">
        <f>+AE582*(SUM('Res de Costos Pais'!G117:G117))</f>
        <v>71935595.379523382</v>
      </c>
      <c r="AG582" s="391">
        <f>+AE582+AF582</f>
        <v>1122090272.4528573</v>
      </c>
      <c r="AH582" s="391">
        <f>+AG582*SUM('Res de Costos Pais'!$G$123:$G$124)</f>
        <v>10839392.031894602</v>
      </c>
      <c r="AI582" s="391">
        <f>+(AG582+AH582)*'Res de Costos Pais'!$G$136</f>
        <v>3058910.0941088302</v>
      </c>
      <c r="AJ582" s="391">
        <f>+(AG582+AH582+AI582)*'Res de Costos Pais'!$G$140</f>
        <v>4543954.2983154431</v>
      </c>
      <c r="AK582" s="391">
        <f>+AG582+AH582+AI582+AJ582</f>
        <v>1140532528.8771763</v>
      </c>
      <c r="AL582" s="820">
        <f>IF(ISERROR((+(AK582/H582)/'Parametros Generales'!$C$6)),0,(+(AK582/H582)/'Parametros Generales'!$C$6))</f>
        <v>37090.488743973212</v>
      </c>
    </row>
    <row r="583" spans="1:38" s="33" customFormat="1" hidden="1" outlineLevel="1">
      <c r="A583" s="1150"/>
      <c r="B583" s="819">
        <v>27</v>
      </c>
      <c r="C583" s="377" t="s">
        <v>1963</v>
      </c>
      <c r="D583" s="378">
        <f>+VLOOKUP(E583,Codigos!$A$1:$B$1123,2,0)</f>
        <v>27001</v>
      </c>
      <c r="E583" s="1110" t="s">
        <v>1964</v>
      </c>
      <c r="F583" s="1102">
        <v>1</v>
      </c>
      <c r="G583" s="379">
        <v>495</v>
      </c>
      <c r="H583" s="1060">
        <f>CEILING(G583+1100,'Parametros Generales'!$C$8)</f>
        <v>1600</v>
      </c>
      <c r="I583" s="1057" t="s">
        <v>392</v>
      </c>
      <c r="J583" s="1058">
        <v>1600</v>
      </c>
      <c r="K583" s="1070" t="str">
        <f t="shared" si="44"/>
        <v>Ok</v>
      </c>
      <c r="L583" s="1077">
        <f t="shared" si="45"/>
        <v>0</v>
      </c>
      <c r="M583" s="1089">
        <f>+H583/'Parametros Generales'!$C$8</f>
        <v>64</v>
      </c>
      <c r="N583" s="1096"/>
      <c r="O583" s="1096"/>
      <c r="P583" s="1096"/>
      <c r="Q583" s="1096"/>
      <c r="R583" s="1096">
        <f>+(M583/'Parametros Generales'!$C$9)</f>
        <v>16</v>
      </c>
      <c r="S583" s="393"/>
      <c r="T583" s="393"/>
      <c r="U583" s="393"/>
      <c r="V583" s="394"/>
      <c r="W583" s="380">
        <f>+R583*'Componentes T.H.'!$Q$9*'Parametros Generales'!$C$6</f>
        <v>80296113.136000007</v>
      </c>
      <c r="X583" s="380">
        <f>(+VLOOKUP(C583,'Transporte y Viaticos'!$B$87:$L$120,2,0)*'Parametros Generales'!$C$7*R583)*(2/3)</f>
        <v>12455015.277448179</v>
      </c>
      <c r="Y583" s="417"/>
      <c r="Z583" s="417"/>
      <c r="AA583" s="417"/>
      <c r="AB583" s="417">
        <f>+M583*'Parametros Generales'!$C$6*'Parametros Generales'!$J$9</f>
        <v>31162181.818181828</v>
      </c>
      <c r="AC583" s="417">
        <f>+H583*'Parametros Generales'!$J$10*'Parametros Generales'!$C$6*'Parametros Generales'!$C$11</f>
        <v>117907990.139213</v>
      </c>
      <c r="AD583" s="417"/>
      <c r="AE583" s="417"/>
      <c r="AF583" s="417"/>
      <c r="AG583" s="417"/>
      <c r="AH583" s="417"/>
      <c r="AI583" s="417"/>
      <c r="AJ583" s="417"/>
      <c r="AK583" s="436"/>
      <c r="AL583" s="822"/>
    </row>
    <row r="584" spans="1:38" s="33" customFormat="1" hidden="1" outlineLevel="1">
      <c r="A584" s="1150"/>
      <c r="B584" s="821">
        <v>27</v>
      </c>
      <c r="C584" s="371" t="s">
        <v>1963</v>
      </c>
      <c r="D584" s="31">
        <f>+VLOOKUP(E584,Codigos!$A$1:$B$1123,2,0)</f>
        <v>27006</v>
      </c>
      <c r="E584" s="1111" t="s">
        <v>1965</v>
      </c>
      <c r="F584" s="1103">
        <v>1</v>
      </c>
      <c r="G584" s="30">
        <v>198</v>
      </c>
      <c r="H584" s="1061">
        <f>CEILING(G584,'Parametros Generales'!$C$8)</f>
        <v>200</v>
      </c>
      <c r="I584" s="1057" t="s">
        <v>393</v>
      </c>
      <c r="J584" s="1058">
        <v>200</v>
      </c>
      <c r="K584" s="1070" t="str">
        <f t="shared" si="44"/>
        <v>Ok</v>
      </c>
      <c r="L584" s="1077">
        <f t="shared" si="45"/>
        <v>0</v>
      </c>
      <c r="M584" s="1090">
        <f>+H584/'Parametros Generales'!$C$8</f>
        <v>8</v>
      </c>
      <c r="N584" s="1097"/>
      <c r="O584" s="1097"/>
      <c r="P584" s="1097"/>
      <c r="Q584" s="1097"/>
      <c r="R584" s="1097">
        <f>+(M584/'Parametros Generales'!$C$9)</f>
        <v>2</v>
      </c>
      <c r="S584" s="390"/>
      <c r="T584" s="390"/>
      <c r="U584" s="390"/>
      <c r="V584" s="389"/>
      <c r="W584" s="32">
        <f>+R584*'Componentes T.H.'!$Q$9*'Parametros Generales'!$C$6</f>
        <v>10037014.142000001</v>
      </c>
      <c r="X584" s="32">
        <f>(+VLOOKUP(C584,'Transporte y Viaticos'!$B$87:$L$120,2,0)*'Parametros Generales'!$C$7*R584)*(2/3)</f>
        <v>1556876.9096810224</v>
      </c>
      <c r="Y584" s="417"/>
      <c r="Z584" s="417"/>
      <c r="AA584" s="417"/>
      <c r="AB584" s="417">
        <f>+M584*'Parametros Generales'!$C$6*'Parametros Generales'!$J$9</f>
        <v>3895272.7272727285</v>
      </c>
      <c r="AC584" s="417">
        <f>+H584*'Parametros Generales'!$J$10*'Parametros Generales'!$C$6*'Parametros Generales'!$C$11</f>
        <v>14738498.767401624</v>
      </c>
      <c r="AD584" s="417"/>
      <c r="AE584" s="417"/>
      <c r="AF584" s="417"/>
      <c r="AG584" s="417"/>
      <c r="AH584" s="417"/>
      <c r="AI584" s="417"/>
      <c r="AJ584" s="417"/>
      <c r="AK584" s="436"/>
      <c r="AL584" s="822"/>
    </row>
    <row r="585" spans="1:38" s="33" customFormat="1" hidden="1" outlineLevel="1">
      <c r="A585" s="1150"/>
      <c r="B585" s="821">
        <v>27</v>
      </c>
      <c r="C585" s="371" t="s">
        <v>1963</v>
      </c>
      <c r="D585" s="31">
        <f>+VLOOKUP(E585,Codigos!$A$1:$B$1123,2,0)</f>
        <v>27025</v>
      </c>
      <c r="E585" s="1111" t="s">
        <v>1966</v>
      </c>
      <c r="F585" s="1103">
        <v>1</v>
      </c>
      <c r="G585" s="30">
        <v>198</v>
      </c>
      <c r="H585" s="1061">
        <f>CEILING(G585,'Parametros Generales'!$C$8)</f>
        <v>200</v>
      </c>
      <c r="I585" s="1057" t="s">
        <v>394</v>
      </c>
      <c r="J585" s="1058">
        <v>200</v>
      </c>
      <c r="K585" s="1070" t="str">
        <f t="shared" si="44"/>
        <v>Ok</v>
      </c>
      <c r="L585" s="1076">
        <f t="shared" si="45"/>
        <v>0</v>
      </c>
      <c r="M585" s="1090">
        <f>+H585/'Parametros Generales'!$C$8</f>
        <v>8</v>
      </c>
      <c r="N585" s="1097"/>
      <c r="O585" s="1097"/>
      <c r="P585" s="1097"/>
      <c r="Q585" s="1097"/>
      <c r="R585" s="1097">
        <f>+(M585/'Parametros Generales'!$C$9)</f>
        <v>2</v>
      </c>
      <c r="S585" s="390"/>
      <c r="T585" s="390"/>
      <c r="U585" s="390"/>
      <c r="V585" s="389"/>
      <c r="W585" s="32">
        <f>+R585*'Componentes T.H.'!$Q$9*'Parametros Generales'!$C$6</f>
        <v>10037014.142000001</v>
      </c>
      <c r="X585" s="32">
        <f>(+VLOOKUP(C585,'Transporte y Viaticos'!$B$87:$L$120,2,0)*'Parametros Generales'!$C$7*R585)*(2/3)</f>
        <v>1556876.9096810224</v>
      </c>
      <c r="Y585" s="417"/>
      <c r="Z585" s="417"/>
      <c r="AA585" s="417"/>
      <c r="AB585" s="417">
        <f>+M585*'Parametros Generales'!$C$6*'Parametros Generales'!$J$9</f>
        <v>3895272.7272727285</v>
      </c>
      <c r="AC585" s="417">
        <f>+H585*'Parametros Generales'!$J$10*'Parametros Generales'!$C$6*'Parametros Generales'!$C$11</f>
        <v>14738498.767401624</v>
      </c>
      <c r="AD585" s="417"/>
      <c r="AE585" s="417"/>
      <c r="AF585" s="417"/>
      <c r="AG585" s="417"/>
      <c r="AH585" s="417"/>
      <c r="AI585" s="417"/>
      <c r="AJ585" s="417"/>
      <c r="AK585" s="436"/>
      <c r="AL585" s="822"/>
    </row>
    <row r="586" spans="1:38" s="33" customFormat="1" hidden="1" outlineLevel="1">
      <c r="A586" s="1150"/>
      <c r="B586" s="821"/>
      <c r="C586" s="371" t="str">
        <f t="shared" ref="C586:C587" si="46">+C585</f>
        <v>CHOCÓ</v>
      </c>
      <c r="D586" s="31"/>
      <c r="E586" s="1111" t="s">
        <v>999</v>
      </c>
      <c r="F586" s="1103">
        <v>1</v>
      </c>
      <c r="G586" s="30">
        <v>0</v>
      </c>
      <c r="H586" s="1061">
        <v>100</v>
      </c>
      <c r="I586" s="1057" t="s">
        <v>999</v>
      </c>
      <c r="J586" s="1058">
        <v>100</v>
      </c>
      <c r="K586" s="1070" t="str">
        <f t="shared" si="44"/>
        <v>Ok</v>
      </c>
      <c r="L586" s="1076">
        <f t="shared" si="45"/>
        <v>0</v>
      </c>
      <c r="M586" s="1090">
        <f>+H586/'Parametros Generales'!$C$8</f>
        <v>4</v>
      </c>
      <c r="N586" s="1097"/>
      <c r="O586" s="1097"/>
      <c r="P586" s="1097"/>
      <c r="Q586" s="1097"/>
      <c r="R586" s="1097">
        <f>+(M586/'Parametros Generales'!$C$9)</f>
        <v>1</v>
      </c>
      <c r="S586" s="390"/>
      <c r="T586" s="390"/>
      <c r="U586" s="390"/>
      <c r="V586" s="389"/>
      <c r="W586" s="32">
        <f>+R586*'Componentes T.H.'!$Q$9*'Parametros Generales'!$C$6</f>
        <v>5018507.0710000005</v>
      </c>
      <c r="X586" s="32">
        <f>(+VLOOKUP(C586,'Transporte y Viaticos'!$B$87:$L$120,2,0)*'Parametros Generales'!$C$7*R586)*(2/3)</f>
        <v>778438.4548405112</v>
      </c>
      <c r="Y586" s="417"/>
      <c r="Z586" s="417"/>
      <c r="AA586" s="417"/>
      <c r="AB586" s="417">
        <f>+M586*'Parametros Generales'!$C$6*'Parametros Generales'!$J$9</f>
        <v>1947636.3636363642</v>
      </c>
      <c r="AC586" s="417">
        <f>+H586*'Parametros Generales'!$J$10*'Parametros Generales'!$C$6*'Parametros Generales'!$C$11</f>
        <v>7369249.3837008122</v>
      </c>
      <c r="AD586" s="417"/>
      <c r="AE586" s="417"/>
      <c r="AF586" s="417"/>
      <c r="AG586" s="417"/>
      <c r="AH586" s="417"/>
      <c r="AI586" s="417"/>
      <c r="AJ586" s="417"/>
      <c r="AK586" s="436"/>
      <c r="AL586" s="822"/>
    </row>
    <row r="587" spans="1:38" s="33" customFormat="1" hidden="1" outlineLevel="1">
      <c r="A587" s="1150"/>
      <c r="B587" s="821"/>
      <c r="C587" s="371" t="str">
        <f t="shared" si="46"/>
        <v>CHOCÓ</v>
      </c>
      <c r="D587" s="31"/>
      <c r="E587" s="1111" t="s">
        <v>1000</v>
      </c>
      <c r="F587" s="1103">
        <v>1</v>
      </c>
      <c r="G587" s="30">
        <v>0</v>
      </c>
      <c r="H587" s="1061">
        <v>100</v>
      </c>
      <c r="I587" s="1057" t="s">
        <v>1000</v>
      </c>
      <c r="J587" s="1058">
        <v>100</v>
      </c>
      <c r="K587" s="1070" t="str">
        <f t="shared" si="44"/>
        <v>Ok</v>
      </c>
      <c r="L587" s="1076">
        <f t="shared" si="45"/>
        <v>0</v>
      </c>
      <c r="M587" s="1090">
        <f>+H587/'Parametros Generales'!$C$8</f>
        <v>4</v>
      </c>
      <c r="N587" s="1097"/>
      <c r="O587" s="1097"/>
      <c r="P587" s="1097"/>
      <c r="Q587" s="1097"/>
      <c r="R587" s="1097">
        <f>+(M587/'Parametros Generales'!$C$9)</f>
        <v>1</v>
      </c>
      <c r="S587" s="390"/>
      <c r="T587" s="390"/>
      <c r="U587" s="390"/>
      <c r="V587" s="389"/>
      <c r="W587" s="32">
        <f>+R587*'Componentes T.H.'!$Q$9*'Parametros Generales'!$C$6</f>
        <v>5018507.0710000005</v>
      </c>
      <c r="X587" s="32">
        <f>(+VLOOKUP(C587,'Transporte y Viaticos'!$B$87:$L$120,2,0)*'Parametros Generales'!$C$7*R587)*(2/3)</f>
        <v>778438.4548405112</v>
      </c>
      <c r="Y587" s="417"/>
      <c r="Z587" s="417"/>
      <c r="AA587" s="417"/>
      <c r="AB587" s="417">
        <f>+M587*'Parametros Generales'!$C$6*'Parametros Generales'!$J$9</f>
        <v>1947636.3636363642</v>
      </c>
      <c r="AC587" s="417">
        <f>+H587*'Parametros Generales'!$J$10*'Parametros Generales'!$C$6*'Parametros Generales'!$C$11</f>
        <v>7369249.3837008122</v>
      </c>
      <c r="AD587" s="417"/>
      <c r="AE587" s="417"/>
      <c r="AF587" s="417"/>
      <c r="AG587" s="417"/>
      <c r="AH587" s="417"/>
      <c r="AI587" s="417"/>
      <c r="AJ587" s="417"/>
      <c r="AK587" s="436"/>
      <c r="AL587" s="822"/>
    </row>
    <row r="588" spans="1:38" s="33" customFormat="1" hidden="1" outlineLevel="1">
      <c r="A588" s="1150"/>
      <c r="B588" s="821">
        <v>27</v>
      </c>
      <c r="C588" s="371" t="s">
        <v>1963</v>
      </c>
      <c r="D588" s="31">
        <f>+VLOOKUP(E588,Codigos!$A$1:$B$1123,2,0)</f>
        <v>27075</v>
      </c>
      <c r="E588" s="1111" t="s">
        <v>1967</v>
      </c>
      <c r="F588" s="1103">
        <v>1</v>
      </c>
      <c r="G588" s="30">
        <v>198</v>
      </c>
      <c r="H588" s="1061">
        <f>CEILING((G588+100),'Parametros Generales'!$C$8)</f>
        <v>300</v>
      </c>
      <c r="I588" s="1057" t="s">
        <v>395</v>
      </c>
      <c r="J588" s="1058">
        <v>300</v>
      </c>
      <c r="K588" s="1070" t="str">
        <f t="shared" si="44"/>
        <v>Ok</v>
      </c>
      <c r="L588" s="1077">
        <f t="shared" si="45"/>
        <v>0</v>
      </c>
      <c r="M588" s="1090">
        <f>+H588/'Parametros Generales'!$C$8</f>
        <v>12</v>
      </c>
      <c r="N588" s="1097"/>
      <c r="O588" s="1097"/>
      <c r="P588" s="1097"/>
      <c r="Q588" s="1097"/>
      <c r="R588" s="1097">
        <f>+(M588/'Parametros Generales'!$C$9)</f>
        <v>3</v>
      </c>
      <c r="S588" s="390"/>
      <c r="T588" s="390"/>
      <c r="U588" s="390"/>
      <c r="V588" s="389"/>
      <c r="W588" s="32">
        <f>+R588*'Componentes T.H.'!$Q$9*'Parametros Generales'!$C$6</f>
        <v>15055521.213</v>
      </c>
      <c r="X588" s="32">
        <f>(+VLOOKUP(C588,'Transporte y Viaticos'!$B$87:$L$120,2,0)*'Parametros Generales'!$C$7*R588)*(2/3)</f>
        <v>2335315.3645215337</v>
      </c>
      <c r="Y588" s="417"/>
      <c r="Z588" s="417"/>
      <c r="AA588" s="417"/>
      <c r="AB588" s="417">
        <f>+M588*'Parametros Generales'!$C$6*'Parametros Generales'!$J$9</f>
        <v>5842909.0909090927</v>
      </c>
      <c r="AC588" s="417">
        <f>+H588*'Parametros Generales'!$J$10*'Parametros Generales'!$C$6*'Parametros Generales'!$C$11</f>
        <v>22107748.151102442</v>
      </c>
      <c r="AD588" s="417"/>
      <c r="AE588" s="417"/>
      <c r="AF588" s="417"/>
      <c r="AG588" s="417"/>
      <c r="AH588" s="417"/>
      <c r="AI588" s="417"/>
      <c r="AJ588" s="417"/>
      <c r="AK588" s="436"/>
      <c r="AL588" s="822"/>
    </row>
    <row r="589" spans="1:38" s="33" customFormat="1" hidden="1" outlineLevel="1">
      <c r="A589" s="1150"/>
      <c r="B589" s="821">
        <v>27</v>
      </c>
      <c r="C589" s="371" t="s">
        <v>1963</v>
      </c>
      <c r="D589" s="31">
        <f>+VLOOKUP(E589,Codigos!$A$1:$B$1123,2,0)</f>
        <v>27077</v>
      </c>
      <c r="E589" s="1111" t="s">
        <v>1968</v>
      </c>
      <c r="F589" s="1103">
        <v>1</v>
      </c>
      <c r="G589" s="30">
        <v>198</v>
      </c>
      <c r="H589" s="1061">
        <f>CEILING(G589,'Parametros Generales'!$C$8)</f>
        <v>200</v>
      </c>
      <c r="I589" s="1057" t="s">
        <v>396</v>
      </c>
      <c r="J589" s="1058">
        <v>200</v>
      </c>
      <c r="K589" s="1070" t="str">
        <f t="shared" si="44"/>
        <v>Ok</v>
      </c>
      <c r="L589" s="1077">
        <f t="shared" si="45"/>
        <v>0</v>
      </c>
      <c r="M589" s="1090">
        <f>+H589/'Parametros Generales'!$C$8</f>
        <v>8</v>
      </c>
      <c r="N589" s="1097"/>
      <c r="O589" s="1097"/>
      <c r="P589" s="1097"/>
      <c r="Q589" s="1097"/>
      <c r="R589" s="1097">
        <f>+(M589/'Parametros Generales'!$C$9)</f>
        <v>2</v>
      </c>
      <c r="S589" s="390"/>
      <c r="T589" s="390"/>
      <c r="U589" s="390"/>
      <c r="V589" s="389"/>
      <c r="W589" s="32">
        <f>+R589*'Componentes T.H.'!$Q$9*'Parametros Generales'!$C$6</f>
        <v>10037014.142000001</v>
      </c>
      <c r="X589" s="32">
        <f>(+VLOOKUP(C589,'Transporte y Viaticos'!$B$87:$L$120,2,0)*'Parametros Generales'!$C$7*R589)*(2/3)</f>
        <v>1556876.9096810224</v>
      </c>
      <c r="Y589" s="417"/>
      <c r="Z589" s="417"/>
      <c r="AA589" s="417"/>
      <c r="AB589" s="417">
        <f>+M589*'Parametros Generales'!$C$6*'Parametros Generales'!$J$9</f>
        <v>3895272.7272727285</v>
      </c>
      <c r="AC589" s="417">
        <f>+H589*'Parametros Generales'!$J$10*'Parametros Generales'!$C$6*'Parametros Generales'!$C$11</f>
        <v>14738498.767401624</v>
      </c>
      <c r="AD589" s="417"/>
      <c r="AE589" s="417"/>
      <c r="AF589" s="417"/>
      <c r="AG589" s="417"/>
      <c r="AH589" s="417"/>
      <c r="AI589" s="417"/>
      <c r="AJ589" s="417"/>
      <c r="AK589" s="436"/>
      <c r="AL589" s="822"/>
    </row>
    <row r="590" spans="1:38" s="33" customFormat="1" hidden="1" outlineLevel="1">
      <c r="A590" s="1150"/>
      <c r="B590" s="821">
        <v>27</v>
      </c>
      <c r="C590" s="371" t="s">
        <v>1963</v>
      </c>
      <c r="D590" s="31">
        <f>+VLOOKUP(E590,Codigos!$A$1:$B$1123,2,0)</f>
        <v>27099</v>
      </c>
      <c r="E590" s="1111" t="s">
        <v>1969</v>
      </c>
      <c r="F590" s="1103">
        <v>1</v>
      </c>
      <c r="G590" s="30">
        <v>198</v>
      </c>
      <c r="H590" s="1061">
        <f>CEILING(G590,'Parametros Generales'!$C$8)</f>
        <v>200</v>
      </c>
      <c r="I590" s="1057" t="s">
        <v>397</v>
      </c>
      <c r="J590" s="1058">
        <v>200</v>
      </c>
      <c r="K590" s="1070" t="str">
        <f t="shared" si="44"/>
        <v>Ok</v>
      </c>
      <c r="L590" s="1077">
        <f t="shared" si="45"/>
        <v>0</v>
      </c>
      <c r="M590" s="1090">
        <f>+H590/'Parametros Generales'!$C$8</f>
        <v>8</v>
      </c>
      <c r="N590" s="1097"/>
      <c r="O590" s="1097"/>
      <c r="P590" s="1097"/>
      <c r="Q590" s="1097"/>
      <c r="R590" s="1097">
        <f>+(M590/'Parametros Generales'!$C$9)</f>
        <v>2</v>
      </c>
      <c r="S590" s="390"/>
      <c r="T590" s="390"/>
      <c r="U590" s="390"/>
      <c r="V590" s="389"/>
      <c r="W590" s="32">
        <f>+R590*'Componentes T.H.'!$Q$9*'Parametros Generales'!$C$6</f>
        <v>10037014.142000001</v>
      </c>
      <c r="X590" s="32">
        <f>(+VLOOKUP(C590,'Transporte y Viaticos'!$B$87:$L$120,2,0)*'Parametros Generales'!$C$7*R590)*(2/3)</f>
        <v>1556876.9096810224</v>
      </c>
      <c r="Y590" s="417"/>
      <c r="Z590" s="417"/>
      <c r="AA590" s="417"/>
      <c r="AB590" s="417">
        <f>+M590*'Parametros Generales'!$C$6*'Parametros Generales'!$J$9</f>
        <v>3895272.7272727285</v>
      </c>
      <c r="AC590" s="417">
        <f>+H590*'Parametros Generales'!$J$10*'Parametros Generales'!$C$6*'Parametros Generales'!$C$11</f>
        <v>14738498.767401624</v>
      </c>
      <c r="AD590" s="417"/>
      <c r="AE590" s="417"/>
      <c r="AF590" s="417"/>
      <c r="AG590" s="417"/>
      <c r="AH590" s="417"/>
      <c r="AI590" s="417"/>
      <c r="AJ590" s="417"/>
      <c r="AK590" s="436"/>
      <c r="AL590" s="822"/>
    </row>
    <row r="591" spans="1:38" s="33" customFormat="1" hidden="1" outlineLevel="1">
      <c r="A591" s="1150"/>
      <c r="B591" s="821"/>
      <c r="C591" s="371" t="str">
        <f>+C590</f>
        <v>CHOCÓ</v>
      </c>
      <c r="D591" s="31">
        <f>+VLOOKUP(E591,Codigos!$A$1:$B$1123,2,0)</f>
        <v>27150</v>
      </c>
      <c r="E591" s="1111" t="s">
        <v>1002</v>
      </c>
      <c r="F591" s="1103">
        <v>1</v>
      </c>
      <c r="G591" s="30">
        <v>0</v>
      </c>
      <c r="H591" s="1061">
        <v>100</v>
      </c>
      <c r="I591" s="1057" t="s">
        <v>1002</v>
      </c>
      <c r="J591" s="1058">
        <v>100</v>
      </c>
      <c r="K591" s="1070" t="str">
        <f t="shared" si="44"/>
        <v>Ok</v>
      </c>
      <c r="L591" s="1077">
        <f t="shared" si="45"/>
        <v>0</v>
      </c>
      <c r="M591" s="1090">
        <f>+H591/'Parametros Generales'!$C$8</f>
        <v>4</v>
      </c>
      <c r="N591" s="1097"/>
      <c r="O591" s="1097"/>
      <c r="P591" s="1097"/>
      <c r="Q591" s="1097"/>
      <c r="R591" s="1097">
        <f>+(M591/'Parametros Generales'!$C$9)</f>
        <v>1</v>
      </c>
      <c r="S591" s="390"/>
      <c r="T591" s="390"/>
      <c r="U591" s="390"/>
      <c r="V591" s="389"/>
      <c r="W591" s="32">
        <f>+R591*'Componentes T.H.'!$Q$9*'Parametros Generales'!$C$6</f>
        <v>5018507.0710000005</v>
      </c>
      <c r="X591" s="32">
        <f>(+VLOOKUP(C591,'Transporte y Viaticos'!$B$87:$L$120,2,0)*'Parametros Generales'!$C$7*R591)*(2/3)</f>
        <v>778438.4548405112</v>
      </c>
      <c r="Y591" s="417"/>
      <c r="Z591" s="417"/>
      <c r="AA591" s="417"/>
      <c r="AB591" s="417">
        <f>+M591*'Parametros Generales'!$C$6*'Parametros Generales'!$J$9</f>
        <v>1947636.3636363642</v>
      </c>
      <c r="AC591" s="417">
        <f>+H591*'Parametros Generales'!$J$10*'Parametros Generales'!$C$6*'Parametros Generales'!$C$11</f>
        <v>7369249.3837008122</v>
      </c>
      <c r="AD591" s="417"/>
      <c r="AE591" s="417"/>
      <c r="AF591" s="417"/>
      <c r="AG591" s="417"/>
      <c r="AH591" s="417"/>
      <c r="AI591" s="417"/>
      <c r="AJ591" s="417"/>
      <c r="AK591" s="436"/>
      <c r="AL591" s="822"/>
    </row>
    <row r="592" spans="1:38" s="33" customFormat="1" hidden="1" outlineLevel="1">
      <c r="A592" s="1150"/>
      <c r="B592" s="821">
        <v>27</v>
      </c>
      <c r="C592" s="371" t="s">
        <v>1963</v>
      </c>
      <c r="D592" s="31">
        <f>+VLOOKUP(E592,Codigos!$A$1:$B$1123,2,0)</f>
        <v>27205</v>
      </c>
      <c r="E592" s="1111" t="s">
        <v>1970</v>
      </c>
      <c r="F592" s="1103">
        <v>1</v>
      </c>
      <c r="G592" s="30">
        <v>198</v>
      </c>
      <c r="H592" s="1061">
        <f>CEILING((G592-50),'Parametros Generales'!$C$8)</f>
        <v>150</v>
      </c>
      <c r="I592" s="1057" t="s">
        <v>398</v>
      </c>
      <c r="J592" s="1058">
        <v>150</v>
      </c>
      <c r="K592" s="1070" t="str">
        <f t="shared" si="44"/>
        <v>Ok</v>
      </c>
      <c r="L592" s="1077">
        <f t="shared" si="45"/>
        <v>0</v>
      </c>
      <c r="M592" s="1090">
        <f>+H592/'Parametros Generales'!$C$8</f>
        <v>6</v>
      </c>
      <c r="N592" s="1097"/>
      <c r="O592" s="1097"/>
      <c r="P592" s="1097"/>
      <c r="Q592" s="1097"/>
      <c r="R592" s="1097">
        <f>+(M592/'Parametros Generales'!$C$9)</f>
        <v>1.5</v>
      </c>
      <c r="S592" s="390"/>
      <c r="T592" s="390"/>
      <c r="U592" s="390"/>
      <c r="V592" s="389"/>
      <c r="W592" s="32">
        <f>+R592*'Componentes T.H.'!$Q$9*'Parametros Generales'!$C$6</f>
        <v>7527760.6064999998</v>
      </c>
      <c r="X592" s="32">
        <f>(+VLOOKUP(C592,'Transporte y Viaticos'!$B$87:$L$120,2,0)*'Parametros Generales'!$C$7*R592)*(2/3)</f>
        <v>1167657.6822607669</v>
      </c>
      <c r="Y592" s="417"/>
      <c r="Z592" s="417"/>
      <c r="AA592" s="417"/>
      <c r="AB592" s="417">
        <f>+M592*'Parametros Generales'!$C$6*'Parametros Generales'!$J$9</f>
        <v>2921454.5454545463</v>
      </c>
      <c r="AC592" s="417">
        <f>+H592*'Parametros Generales'!$J$10*'Parametros Generales'!$C$6*'Parametros Generales'!$C$11</f>
        <v>11053874.075551221</v>
      </c>
      <c r="AD592" s="417"/>
      <c r="AE592" s="417"/>
      <c r="AF592" s="417"/>
      <c r="AG592" s="417"/>
      <c r="AH592" s="417"/>
      <c r="AI592" s="417"/>
      <c r="AJ592" s="417"/>
      <c r="AK592" s="436"/>
      <c r="AL592" s="822"/>
    </row>
    <row r="593" spans="1:38" s="33" customFormat="1" hidden="1" outlineLevel="1">
      <c r="A593" s="1150"/>
      <c r="B593" s="821"/>
      <c r="C593" s="371" t="str">
        <f>+C592</f>
        <v>CHOCÓ</v>
      </c>
      <c r="D593" s="31">
        <f>+VLOOKUP(E593,Codigos!$A$1:$B$1123,2,0)</f>
        <v>27135</v>
      </c>
      <c r="E593" s="1111" t="s">
        <v>1001</v>
      </c>
      <c r="F593" s="1103">
        <v>1</v>
      </c>
      <c r="G593" s="30">
        <v>0</v>
      </c>
      <c r="H593" s="1061">
        <v>100</v>
      </c>
      <c r="I593" s="1057" t="s">
        <v>1001</v>
      </c>
      <c r="J593" s="1058">
        <v>100</v>
      </c>
      <c r="K593" s="1070" t="str">
        <f t="shared" si="44"/>
        <v>Ok</v>
      </c>
      <c r="L593" s="1077">
        <f t="shared" si="45"/>
        <v>0</v>
      </c>
      <c r="M593" s="1090">
        <f>+H593/'Parametros Generales'!$C$8</f>
        <v>4</v>
      </c>
      <c r="N593" s="1097"/>
      <c r="O593" s="1097"/>
      <c r="P593" s="1097"/>
      <c r="Q593" s="1097"/>
      <c r="R593" s="1097">
        <f>+(M593/'Parametros Generales'!$C$9)</f>
        <v>1</v>
      </c>
      <c r="S593" s="390"/>
      <c r="T593" s="390"/>
      <c r="U593" s="390"/>
      <c r="V593" s="389"/>
      <c r="W593" s="32">
        <f>+R593*'Componentes T.H.'!$Q$9*'Parametros Generales'!$C$6</f>
        <v>5018507.0710000005</v>
      </c>
      <c r="X593" s="32">
        <f>(+VLOOKUP(C593,'Transporte y Viaticos'!$B$87:$L$120,2,0)*'Parametros Generales'!$C$7*R593)*(2/3)</f>
        <v>778438.4548405112</v>
      </c>
      <c r="Y593" s="417"/>
      <c r="Z593" s="417"/>
      <c r="AA593" s="417"/>
      <c r="AB593" s="417">
        <f>+M593*'Parametros Generales'!$C$6*'Parametros Generales'!$J$9</f>
        <v>1947636.3636363642</v>
      </c>
      <c r="AC593" s="417">
        <f>+H593*'Parametros Generales'!$J$10*'Parametros Generales'!$C$6*'Parametros Generales'!$C$11</f>
        <v>7369249.3837008122</v>
      </c>
      <c r="AD593" s="417"/>
      <c r="AE593" s="417"/>
      <c r="AF593" s="417"/>
      <c r="AG593" s="417"/>
      <c r="AH593" s="417"/>
      <c r="AI593" s="417"/>
      <c r="AJ593" s="417"/>
      <c r="AK593" s="436"/>
      <c r="AL593" s="822"/>
    </row>
    <row r="594" spans="1:38" s="33" customFormat="1" hidden="1" outlineLevel="1">
      <c r="A594" s="1150"/>
      <c r="B594" s="821">
        <v>27</v>
      </c>
      <c r="C594" s="371" t="s">
        <v>1963</v>
      </c>
      <c r="D594" s="31">
        <f>+VLOOKUP(E594,Codigos!$A$1:$B$1123,2,0)</f>
        <v>27250</v>
      </c>
      <c r="E594" s="1112" t="s">
        <v>1971</v>
      </c>
      <c r="F594" s="1103">
        <v>1</v>
      </c>
      <c r="G594" s="30">
        <v>198</v>
      </c>
      <c r="H594" s="1061">
        <f>CEILING(G594,'Parametros Generales'!$C$8)</f>
        <v>200</v>
      </c>
      <c r="I594" s="1059" t="s">
        <v>399</v>
      </c>
      <c r="J594" s="1058">
        <v>200</v>
      </c>
      <c r="K594" s="1070" t="str">
        <f t="shared" si="44"/>
        <v>Ok</v>
      </c>
      <c r="L594" s="1077">
        <f t="shared" si="45"/>
        <v>0</v>
      </c>
      <c r="M594" s="1090">
        <f>+H594/'Parametros Generales'!$C$8</f>
        <v>8</v>
      </c>
      <c r="N594" s="1097"/>
      <c r="O594" s="1097"/>
      <c r="P594" s="1097"/>
      <c r="Q594" s="1097"/>
      <c r="R594" s="1097">
        <f>+(M594/'Parametros Generales'!$C$9)</f>
        <v>2</v>
      </c>
      <c r="S594" s="390"/>
      <c r="T594" s="390"/>
      <c r="U594" s="390"/>
      <c r="V594" s="389"/>
      <c r="W594" s="32">
        <f>+R594*'Componentes T.H.'!$Q$9*'Parametros Generales'!$C$6</f>
        <v>10037014.142000001</v>
      </c>
      <c r="X594" s="32">
        <f>(+VLOOKUP(C594,'Transporte y Viaticos'!$B$87:$L$120,2,0)*'Parametros Generales'!$C$7*R594)*(2/3)</f>
        <v>1556876.9096810224</v>
      </c>
      <c r="Y594" s="417"/>
      <c r="Z594" s="417"/>
      <c r="AA594" s="417"/>
      <c r="AB594" s="417">
        <f>+M594*'Parametros Generales'!$C$6*'Parametros Generales'!$J$9</f>
        <v>3895272.7272727285</v>
      </c>
      <c r="AC594" s="417">
        <f>+H594*'Parametros Generales'!$J$10*'Parametros Generales'!$C$6*'Parametros Generales'!$C$11</f>
        <v>14738498.767401624</v>
      </c>
      <c r="AD594" s="417"/>
      <c r="AE594" s="417"/>
      <c r="AF594" s="417"/>
      <c r="AG594" s="417"/>
      <c r="AH594" s="417"/>
      <c r="AI594" s="417"/>
      <c r="AJ594" s="417"/>
      <c r="AK594" s="436"/>
      <c r="AL594" s="822"/>
    </row>
    <row r="595" spans="1:38" s="33" customFormat="1" hidden="1" outlineLevel="1">
      <c r="A595" s="1150"/>
      <c r="B595" s="821">
        <v>27</v>
      </c>
      <c r="C595" s="371" t="s">
        <v>1963</v>
      </c>
      <c r="D595" s="31">
        <f>+VLOOKUP(E595,Codigos!$A$1:$B$1123,2,0)</f>
        <v>27361</v>
      </c>
      <c r="E595" s="1111" t="s">
        <v>1972</v>
      </c>
      <c r="F595" s="1103">
        <v>1</v>
      </c>
      <c r="G595" s="30">
        <v>198</v>
      </c>
      <c r="H595" s="1061">
        <f>CEILING(G595+300,'Parametros Generales'!$C$8)</f>
        <v>500</v>
      </c>
      <c r="I595" s="1057" t="s">
        <v>400</v>
      </c>
      <c r="J595" s="1058">
        <v>500</v>
      </c>
      <c r="K595" s="1070" t="str">
        <f t="shared" si="44"/>
        <v>Ok</v>
      </c>
      <c r="L595" s="1077">
        <f t="shared" si="45"/>
        <v>0</v>
      </c>
      <c r="M595" s="1090">
        <f>+H595/'Parametros Generales'!$C$8</f>
        <v>20</v>
      </c>
      <c r="N595" s="1097"/>
      <c r="O595" s="1097"/>
      <c r="P595" s="1097"/>
      <c r="Q595" s="1097"/>
      <c r="R595" s="1097">
        <f>+(M595/'Parametros Generales'!$C$9)</f>
        <v>5</v>
      </c>
      <c r="S595" s="390"/>
      <c r="T595" s="390"/>
      <c r="U595" s="390"/>
      <c r="V595" s="389"/>
      <c r="W595" s="32">
        <f>+R595*'Componentes T.H.'!$Q$9*'Parametros Generales'!$C$6</f>
        <v>25092535.355000004</v>
      </c>
      <c r="X595" s="32">
        <f>(+VLOOKUP(C595,'Transporte y Viaticos'!$B$87:$L$120,2,0)*'Parametros Generales'!$C$7*R595)*(2/3)</f>
        <v>3892192.2742025559</v>
      </c>
      <c r="Y595" s="417"/>
      <c r="Z595" s="417"/>
      <c r="AA595" s="417"/>
      <c r="AB595" s="417">
        <f>+M595*'Parametros Generales'!$C$6*'Parametros Generales'!$J$9</f>
        <v>9738181.8181818202</v>
      </c>
      <c r="AC595" s="417">
        <f>+H595*'Parametros Generales'!$J$10*'Parametros Generales'!$C$6*'Parametros Generales'!$C$11</f>
        <v>36846246.918504067</v>
      </c>
      <c r="AD595" s="417"/>
      <c r="AE595" s="417"/>
      <c r="AF595" s="417"/>
      <c r="AG595" s="417"/>
      <c r="AH595" s="417"/>
      <c r="AI595" s="417"/>
      <c r="AJ595" s="417"/>
      <c r="AK595" s="436"/>
      <c r="AL595" s="822"/>
    </row>
    <row r="596" spans="1:38" s="33" customFormat="1" hidden="1" outlineLevel="1">
      <c r="A596" s="1150"/>
      <c r="B596" s="821"/>
      <c r="C596" s="371" t="str">
        <f>+C595</f>
        <v>CHOCÓ</v>
      </c>
      <c r="D596" s="31">
        <f>+VLOOKUP(E596,Codigos!$A$1:$B$1123,2,0)</f>
        <v>27372</v>
      </c>
      <c r="E596" s="1111" t="s">
        <v>1005</v>
      </c>
      <c r="F596" s="1103">
        <v>1</v>
      </c>
      <c r="G596" s="30">
        <v>0</v>
      </c>
      <c r="H596" s="1061">
        <v>100</v>
      </c>
      <c r="I596" s="1057" t="s">
        <v>1005</v>
      </c>
      <c r="J596" s="1058">
        <v>100</v>
      </c>
      <c r="K596" s="1070" t="str">
        <f t="shared" si="44"/>
        <v>Ok</v>
      </c>
      <c r="L596" s="1077">
        <f t="shared" si="45"/>
        <v>0</v>
      </c>
      <c r="M596" s="1090">
        <f>+H596/'Parametros Generales'!$C$8</f>
        <v>4</v>
      </c>
      <c r="N596" s="1097"/>
      <c r="O596" s="1097"/>
      <c r="P596" s="1097"/>
      <c r="Q596" s="1097"/>
      <c r="R596" s="1097">
        <f>+(M596/'Parametros Generales'!$C$9)</f>
        <v>1</v>
      </c>
      <c r="S596" s="390"/>
      <c r="T596" s="390"/>
      <c r="U596" s="390"/>
      <c r="V596" s="389"/>
      <c r="W596" s="32">
        <f>+R596*'Componentes T.H.'!$Q$9*'Parametros Generales'!$C$6</f>
        <v>5018507.0710000005</v>
      </c>
      <c r="X596" s="32">
        <f>(+VLOOKUP(C596,'Transporte y Viaticos'!$B$87:$L$120,2,0)*'Parametros Generales'!$C$7*R596)*(2/3)</f>
        <v>778438.4548405112</v>
      </c>
      <c r="Y596" s="417"/>
      <c r="Z596" s="417"/>
      <c r="AA596" s="417"/>
      <c r="AB596" s="417">
        <f>+M596*'Parametros Generales'!$C$6*'Parametros Generales'!$J$9</f>
        <v>1947636.3636363642</v>
      </c>
      <c r="AC596" s="417">
        <f>+H596*'Parametros Generales'!$J$10*'Parametros Generales'!$C$6*'Parametros Generales'!$C$11</f>
        <v>7369249.3837008122</v>
      </c>
      <c r="AD596" s="417"/>
      <c r="AE596" s="417"/>
      <c r="AF596" s="417"/>
      <c r="AG596" s="417"/>
      <c r="AH596" s="417"/>
      <c r="AI596" s="417"/>
      <c r="AJ596" s="417"/>
      <c r="AK596" s="436"/>
      <c r="AL596" s="822"/>
    </row>
    <row r="597" spans="1:38" s="33" customFormat="1" hidden="1" outlineLevel="1">
      <c r="A597" s="1150"/>
      <c r="B597" s="821">
        <v>27</v>
      </c>
      <c r="C597" s="371" t="s">
        <v>1963</v>
      </c>
      <c r="D597" s="31">
        <f>+VLOOKUP(E597,Codigos!$A$1:$B$1123,2,0)</f>
        <v>27425</v>
      </c>
      <c r="E597" s="1111" t="s">
        <v>1973</v>
      </c>
      <c r="F597" s="1103">
        <v>1</v>
      </c>
      <c r="G597" s="30">
        <v>198</v>
      </c>
      <c r="H597" s="1061">
        <f>CEILING(G597,'Parametros Generales'!$C$8)</f>
        <v>200</v>
      </c>
      <c r="I597" s="1057" t="s">
        <v>401</v>
      </c>
      <c r="J597" s="1058">
        <v>200</v>
      </c>
      <c r="K597" s="1070" t="str">
        <f t="shared" si="44"/>
        <v>Ok</v>
      </c>
      <c r="L597" s="1077">
        <f t="shared" si="45"/>
        <v>0</v>
      </c>
      <c r="M597" s="1090">
        <f>+H597/'Parametros Generales'!$C$8</f>
        <v>8</v>
      </c>
      <c r="N597" s="1097"/>
      <c r="O597" s="1097"/>
      <c r="P597" s="1097"/>
      <c r="Q597" s="1097"/>
      <c r="R597" s="1097">
        <f>+(M597/'Parametros Generales'!$C$9)</f>
        <v>2</v>
      </c>
      <c r="S597" s="390"/>
      <c r="T597" s="390"/>
      <c r="U597" s="390"/>
      <c r="V597" s="389"/>
      <c r="W597" s="32">
        <f>+R597*'Componentes T.H.'!$Q$9*'Parametros Generales'!$C$6</f>
        <v>10037014.142000001</v>
      </c>
      <c r="X597" s="32">
        <f>(+VLOOKUP(C597,'Transporte y Viaticos'!$B$87:$L$120,2,0)*'Parametros Generales'!$C$7*R597)*(2/3)</f>
        <v>1556876.9096810224</v>
      </c>
      <c r="Y597" s="417"/>
      <c r="Z597" s="417"/>
      <c r="AA597" s="417"/>
      <c r="AB597" s="417">
        <f>+M597*'Parametros Generales'!$C$6*'Parametros Generales'!$J$9</f>
        <v>3895272.7272727285</v>
      </c>
      <c r="AC597" s="417">
        <f>+H597*'Parametros Generales'!$J$10*'Parametros Generales'!$C$6*'Parametros Generales'!$C$11</f>
        <v>14738498.767401624</v>
      </c>
      <c r="AD597" s="417"/>
      <c r="AE597" s="417"/>
      <c r="AF597" s="417"/>
      <c r="AG597" s="417"/>
      <c r="AH597" s="417"/>
      <c r="AI597" s="417"/>
      <c r="AJ597" s="417"/>
      <c r="AK597" s="436"/>
      <c r="AL597" s="822"/>
    </row>
    <row r="598" spans="1:38" s="33" customFormat="1" hidden="1" outlineLevel="1">
      <c r="A598" s="1150"/>
      <c r="B598" s="821">
        <v>27</v>
      </c>
      <c r="C598" s="371" t="s">
        <v>1963</v>
      </c>
      <c r="D598" s="31">
        <f>+VLOOKUP(E598,Codigos!$A$1:$B$1123,2,0)</f>
        <v>27430</v>
      </c>
      <c r="E598" s="1111" t="s">
        <v>1974</v>
      </c>
      <c r="F598" s="1103">
        <v>1</v>
      </c>
      <c r="G598" s="30">
        <v>198</v>
      </c>
      <c r="H598" s="1061">
        <f>CEILING(G598,'Parametros Generales'!$C$8)</f>
        <v>200</v>
      </c>
      <c r="I598" s="1057" t="s">
        <v>402</v>
      </c>
      <c r="J598" s="1058">
        <v>200</v>
      </c>
      <c r="K598" s="1070" t="str">
        <f t="shared" si="44"/>
        <v>Ok</v>
      </c>
      <c r="L598" s="1077">
        <f t="shared" si="45"/>
        <v>0</v>
      </c>
      <c r="M598" s="1090">
        <f>+H598/'Parametros Generales'!$C$8</f>
        <v>8</v>
      </c>
      <c r="N598" s="1097"/>
      <c r="O598" s="1097"/>
      <c r="P598" s="1097"/>
      <c r="Q598" s="1097"/>
      <c r="R598" s="1097">
        <f>+(M598/'Parametros Generales'!$C$9)</f>
        <v>2</v>
      </c>
      <c r="S598" s="390"/>
      <c r="T598" s="390"/>
      <c r="U598" s="390"/>
      <c r="V598" s="389"/>
      <c r="W598" s="32">
        <f>+R598*'Componentes T.H.'!$Q$9*'Parametros Generales'!$C$6</f>
        <v>10037014.142000001</v>
      </c>
      <c r="X598" s="32">
        <f>(+VLOOKUP(C598,'Transporte y Viaticos'!$B$87:$L$120,2,0)*'Parametros Generales'!$C$7*R598)*(2/3)</f>
        <v>1556876.9096810224</v>
      </c>
      <c r="Y598" s="417"/>
      <c r="Z598" s="417"/>
      <c r="AA598" s="417"/>
      <c r="AB598" s="417">
        <f>+M598*'Parametros Generales'!$C$6*'Parametros Generales'!$J$9</f>
        <v>3895272.7272727285</v>
      </c>
      <c r="AC598" s="417">
        <f>+H598*'Parametros Generales'!$J$10*'Parametros Generales'!$C$6*'Parametros Generales'!$C$11</f>
        <v>14738498.767401624</v>
      </c>
      <c r="AD598" s="417"/>
      <c r="AE598" s="417"/>
      <c r="AF598" s="417"/>
      <c r="AG598" s="417"/>
      <c r="AH598" s="417"/>
      <c r="AI598" s="417"/>
      <c r="AJ598" s="417"/>
      <c r="AK598" s="436"/>
      <c r="AL598" s="822"/>
    </row>
    <row r="599" spans="1:38" s="33" customFormat="1" hidden="1" outlineLevel="1">
      <c r="A599" s="1150"/>
      <c r="B599" s="821"/>
      <c r="C599" s="371" t="str">
        <f t="shared" ref="C599:C602" si="47">+C598</f>
        <v>CHOCÓ</v>
      </c>
      <c r="D599" s="31">
        <f>+VLOOKUP(E599,Codigos!$A$1:$B$1123,2,0)</f>
        <v>27491</v>
      </c>
      <c r="E599" s="1111" t="s">
        <v>1008</v>
      </c>
      <c r="F599" s="1103">
        <v>1</v>
      </c>
      <c r="G599" s="30">
        <v>0</v>
      </c>
      <c r="H599" s="1061">
        <v>100</v>
      </c>
      <c r="I599" s="1057" t="s">
        <v>1008</v>
      </c>
      <c r="J599" s="1058">
        <v>100</v>
      </c>
      <c r="K599" s="1070" t="str">
        <f t="shared" si="44"/>
        <v>Ok</v>
      </c>
      <c r="L599" s="1077">
        <f t="shared" si="45"/>
        <v>0</v>
      </c>
      <c r="M599" s="1090">
        <f>+H599/'Parametros Generales'!$C$8</f>
        <v>4</v>
      </c>
      <c r="N599" s="1097"/>
      <c r="O599" s="1097"/>
      <c r="P599" s="1097"/>
      <c r="Q599" s="1097"/>
      <c r="R599" s="1097">
        <f>+(M599/'Parametros Generales'!$C$9)</f>
        <v>1</v>
      </c>
      <c r="S599" s="390"/>
      <c r="T599" s="390"/>
      <c r="U599" s="390"/>
      <c r="V599" s="389"/>
      <c r="W599" s="32">
        <f>+R599*'Componentes T.H.'!$Q$9*'Parametros Generales'!$C$6</f>
        <v>5018507.0710000005</v>
      </c>
      <c r="X599" s="32">
        <f>(+VLOOKUP(C599,'Transporte y Viaticos'!$B$87:$L$120,2,0)*'Parametros Generales'!$C$7*R599)*(2/3)</f>
        <v>778438.4548405112</v>
      </c>
      <c r="Y599" s="417"/>
      <c r="Z599" s="417"/>
      <c r="AA599" s="417"/>
      <c r="AB599" s="417">
        <f>+M599*'Parametros Generales'!$C$6*'Parametros Generales'!$J$9</f>
        <v>1947636.3636363642</v>
      </c>
      <c r="AC599" s="417">
        <f>+H599*'Parametros Generales'!$J$10*'Parametros Generales'!$C$6*'Parametros Generales'!$C$11</f>
        <v>7369249.3837008122</v>
      </c>
      <c r="AD599" s="417"/>
      <c r="AE599" s="417"/>
      <c r="AF599" s="417"/>
      <c r="AG599" s="417"/>
      <c r="AH599" s="417"/>
      <c r="AI599" s="417"/>
      <c r="AJ599" s="417"/>
      <c r="AK599" s="436"/>
      <c r="AL599" s="822"/>
    </row>
    <row r="600" spans="1:38" s="33" customFormat="1" hidden="1" outlineLevel="1">
      <c r="A600" s="1150"/>
      <c r="B600" s="821"/>
      <c r="C600" s="371" t="str">
        <f t="shared" si="47"/>
        <v>CHOCÓ</v>
      </c>
      <c r="D600" s="31">
        <f>+VLOOKUP(E600,Codigos!$A$1:$B$1123,2,0)</f>
        <v>27413</v>
      </c>
      <c r="E600" s="1111" t="s">
        <v>1006</v>
      </c>
      <c r="F600" s="1103">
        <v>1</v>
      </c>
      <c r="G600" s="30">
        <v>0</v>
      </c>
      <c r="H600" s="1061">
        <v>100</v>
      </c>
      <c r="I600" s="1057" t="s">
        <v>1006</v>
      </c>
      <c r="J600" s="1058">
        <v>100</v>
      </c>
      <c r="K600" s="1070" t="str">
        <f t="shared" si="44"/>
        <v>Ok</v>
      </c>
      <c r="L600" s="1077">
        <f t="shared" si="45"/>
        <v>0</v>
      </c>
      <c r="M600" s="1090">
        <f>+H600/'Parametros Generales'!$C$8</f>
        <v>4</v>
      </c>
      <c r="N600" s="1097"/>
      <c r="O600" s="1097"/>
      <c r="P600" s="1097"/>
      <c r="Q600" s="1097"/>
      <c r="R600" s="1097">
        <f>+(M600/'Parametros Generales'!$C$9)</f>
        <v>1</v>
      </c>
      <c r="S600" s="390"/>
      <c r="T600" s="390"/>
      <c r="U600" s="390"/>
      <c r="V600" s="389"/>
      <c r="W600" s="32">
        <f>+R600*'Componentes T.H.'!$Q$9*'Parametros Generales'!$C$6</f>
        <v>5018507.0710000005</v>
      </c>
      <c r="X600" s="32">
        <f>(+VLOOKUP(C600,'Transporte y Viaticos'!$B$87:$L$120,2,0)*'Parametros Generales'!$C$7*R600)*(2/3)</f>
        <v>778438.4548405112</v>
      </c>
      <c r="Y600" s="417"/>
      <c r="Z600" s="417"/>
      <c r="AA600" s="417"/>
      <c r="AB600" s="417">
        <f>+M600*'Parametros Generales'!$C$6*'Parametros Generales'!$J$9</f>
        <v>1947636.3636363642</v>
      </c>
      <c r="AC600" s="417">
        <f>+H600*'Parametros Generales'!$J$10*'Parametros Generales'!$C$6*'Parametros Generales'!$C$11</f>
        <v>7369249.3837008122</v>
      </c>
      <c r="AD600" s="417"/>
      <c r="AE600" s="417"/>
      <c r="AF600" s="417"/>
      <c r="AG600" s="417"/>
      <c r="AH600" s="417"/>
      <c r="AI600" s="417"/>
      <c r="AJ600" s="417"/>
      <c r="AK600" s="436"/>
      <c r="AL600" s="822"/>
    </row>
    <row r="601" spans="1:38" s="33" customFormat="1" hidden="1" outlineLevel="1">
      <c r="A601" s="1150"/>
      <c r="B601" s="821"/>
      <c r="C601" s="371" t="str">
        <f t="shared" si="47"/>
        <v>CHOCÓ</v>
      </c>
      <c r="D601" s="31">
        <f>+VLOOKUP(E601,Codigos!$A$1:$B$1123,2,0)</f>
        <v>27580</v>
      </c>
      <c r="E601" s="1111" t="s">
        <v>1010</v>
      </c>
      <c r="F601" s="1103">
        <v>1</v>
      </c>
      <c r="G601" s="30">
        <v>0</v>
      </c>
      <c r="H601" s="1061">
        <v>100</v>
      </c>
      <c r="I601" s="1057" t="s">
        <v>1010</v>
      </c>
      <c r="J601" s="1058">
        <v>100</v>
      </c>
      <c r="K601" s="1070" t="str">
        <f t="shared" si="44"/>
        <v>Ok</v>
      </c>
      <c r="L601" s="1077">
        <f t="shared" si="45"/>
        <v>0</v>
      </c>
      <c r="M601" s="1090">
        <f>+H601/'Parametros Generales'!$C$8</f>
        <v>4</v>
      </c>
      <c r="N601" s="1097"/>
      <c r="O601" s="1097"/>
      <c r="P601" s="1097"/>
      <c r="Q601" s="1097"/>
      <c r="R601" s="1097">
        <f>+(M601/'Parametros Generales'!$C$9)</f>
        <v>1</v>
      </c>
      <c r="S601" s="390"/>
      <c r="T601" s="390"/>
      <c r="U601" s="390"/>
      <c r="V601" s="389"/>
      <c r="W601" s="32">
        <f>+R601*'Componentes T.H.'!$Q$9*'Parametros Generales'!$C$6</f>
        <v>5018507.0710000005</v>
      </c>
      <c r="X601" s="32">
        <f>(+VLOOKUP(C601,'Transporte y Viaticos'!$B$87:$L$120,2,0)*'Parametros Generales'!$C$7*R601)*(2/3)</f>
        <v>778438.4548405112</v>
      </c>
      <c r="Y601" s="417"/>
      <c r="Z601" s="417"/>
      <c r="AA601" s="417"/>
      <c r="AB601" s="417">
        <f>+M601*'Parametros Generales'!$C$6*'Parametros Generales'!$J$9</f>
        <v>1947636.3636363642</v>
      </c>
      <c r="AC601" s="417">
        <f>+H601*'Parametros Generales'!$J$10*'Parametros Generales'!$C$6*'Parametros Generales'!$C$11</f>
        <v>7369249.3837008122</v>
      </c>
      <c r="AD601" s="417"/>
      <c r="AE601" s="417"/>
      <c r="AF601" s="417"/>
      <c r="AG601" s="417"/>
      <c r="AH601" s="417"/>
      <c r="AI601" s="417"/>
      <c r="AJ601" s="417"/>
      <c r="AK601" s="436"/>
      <c r="AL601" s="822"/>
    </row>
    <row r="602" spans="1:38" s="33" customFormat="1" hidden="1" outlineLevel="1">
      <c r="A602" s="1150"/>
      <c r="B602" s="821"/>
      <c r="C602" s="371" t="str">
        <f t="shared" si="47"/>
        <v>CHOCÓ</v>
      </c>
      <c r="D602" s="31">
        <f>+VLOOKUP(E602,Codigos!$A$1:$B$1123,2,0)</f>
        <v>27600</v>
      </c>
      <c r="E602" s="1111" t="s">
        <v>1011</v>
      </c>
      <c r="F602" s="1103">
        <v>1</v>
      </c>
      <c r="G602" s="30">
        <v>0</v>
      </c>
      <c r="H602" s="1061">
        <v>100</v>
      </c>
      <c r="I602" s="1057" t="s">
        <v>1011</v>
      </c>
      <c r="J602" s="1058">
        <v>100</v>
      </c>
      <c r="K602" s="1070" t="str">
        <f t="shared" si="44"/>
        <v>Ok</v>
      </c>
      <c r="L602" s="1077">
        <f t="shared" si="45"/>
        <v>0</v>
      </c>
      <c r="M602" s="1090">
        <f>+H602/'Parametros Generales'!$C$8</f>
        <v>4</v>
      </c>
      <c r="N602" s="1097"/>
      <c r="O602" s="1097"/>
      <c r="P602" s="1097"/>
      <c r="Q602" s="1097"/>
      <c r="R602" s="1097">
        <f>+(M602/'Parametros Generales'!$C$9)</f>
        <v>1</v>
      </c>
      <c r="S602" s="390"/>
      <c r="T602" s="390"/>
      <c r="U602" s="390"/>
      <c r="V602" s="389"/>
      <c r="W602" s="32">
        <f>+R602*'Componentes T.H.'!$Q$9*'Parametros Generales'!$C$6</f>
        <v>5018507.0710000005</v>
      </c>
      <c r="X602" s="32">
        <f>(+VLOOKUP(C602,'Transporte y Viaticos'!$B$87:$L$120,2,0)*'Parametros Generales'!$C$7*R602)*(2/3)</f>
        <v>778438.4548405112</v>
      </c>
      <c r="Y602" s="417"/>
      <c r="Z602" s="417"/>
      <c r="AA602" s="417"/>
      <c r="AB602" s="417">
        <f>+M602*'Parametros Generales'!$C$6*'Parametros Generales'!$J$9</f>
        <v>1947636.3636363642</v>
      </c>
      <c r="AC602" s="417">
        <f>+H602*'Parametros Generales'!$J$10*'Parametros Generales'!$C$6*'Parametros Generales'!$C$11</f>
        <v>7369249.3837008122</v>
      </c>
      <c r="AD602" s="417"/>
      <c r="AE602" s="417"/>
      <c r="AF602" s="417"/>
      <c r="AG602" s="417"/>
      <c r="AH602" s="417"/>
      <c r="AI602" s="417"/>
      <c r="AJ602" s="417"/>
      <c r="AK602" s="436"/>
      <c r="AL602" s="822"/>
    </row>
    <row r="603" spans="1:38" s="33" customFormat="1" hidden="1" outlineLevel="1">
      <c r="A603" s="1150"/>
      <c r="B603" s="821">
        <v>27</v>
      </c>
      <c r="C603" s="371" t="s">
        <v>1963</v>
      </c>
      <c r="D603" s="31">
        <f>+VLOOKUP(E603,Codigos!$A$1:$B$1123,2,0)</f>
        <v>27615</v>
      </c>
      <c r="E603" s="1111" t="s">
        <v>1975</v>
      </c>
      <c r="F603" s="1103">
        <v>1</v>
      </c>
      <c r="G603" s="30">
        <v>396</v>
      </c>
      <c r="H603" s="1061">
        <f>CEILING((G603+250),'Parametros Generales'!$C$8)</f>
        <v>650</v>
      </c>
      <c r="I603" s="1057" t="s">
        <v>403</v>
      </c>
      <c r="J603" s="1058">
        <v>650</v>
      </c>
      <c r="K603" s="1070" t="str">
        <f t="shared" si="44"/>
        <v>Ok</v>
      </c>
      <c r="L603" s="1077">
        <f t="shared" si="45"/>
        <v>0</v>
      </c>
      <c r="M603" s="1090">
        <f>+H603/'Parametros Generales'!$C$8</f>
        <v>26</v>
      </c>
      <c r="N603" s="1097"/>
      <c r="O603" s="1097"/>
      <c r="P603" s="1097"/>
      <c r="Q603" s="1097"/>
      <c r="R603" s="1097">
        <f>+(M603/'Parametros Generales'!$C$9)</f>
        <v>6.5</v>
      </c>
      <c r="S603" s="390"/>
      <c r="T603" s="390"/>
      <c r="U603" s="390"/>
      <c r="V603" s="389"/>
      <c r="W603" s="32">
        <f>+R603*'Componentes T.H.'!$Q$9*'Parametros Generales'!$C$6</f>
        <v>32620295.9615</v>
      </c>
      <c r="X603" s="32">
        <f>(+VLOOKUP(C603,'Transporte y Viaticos'!$B$87:$L$120,2,0)*'Parametros Generales'!$C$7*R603)*(2/3)</f>
        <v>5059849.956463323</v>
      </c>
      <c r="Y603" s="417"/>
      <c r="Z603" s="417"/>
      <c r="AA603" s="417"/>
      <c r="AB603" s="417">
        <f>+M603*'Parametros Generales'!$C$6*'Parametros Generales'!$J$9</f>
        <v>12659636.363636367</v>
      </c>
      <c r="AC603" s="417">
        <f>+H603*'Parametros Generales'!$J$10*'Parametros Generales'!$C$6*'Parametros Generales'!$C$11</f>
        <v>47900120.994055286</v>
      </c>
      <c r="AD603" s="417"/>
      <c r="AE603" s="417"/>
      <c r="AF603" s="417"/>
      <c r="AG603" s="417"/>
      <c r="AH603" s="417"/>
      <c r="AI603" s="417"/>
      <c r="AJ603" s="417"/>
      <c r="AK603" s="436"/>
      <c r="AL603" s="822"/>
    </row>
    <row r="604" spans="1:38" s="33" customFormat="1" hidden="1" outlineLevel="1">
      <c r="A604" s="1150"/>
      <c r="B604" s="821">
        <v>27</v>
      </c>
      <c r="C604" s="371" t="s">
        <v>1963</v>
      </c>
      <c r="D604" s="31">
        <f>+VLOOKUP(E604,Codigos!$A$1:$B$1123,2,0)</f>
        <v>27745</v>
      </c>
      <c r="E604" s="1112" t="s">
        <v>1976</v>
      </c>
      <c r="F604" s="1103">
        <v>1</v>
      </c>
      <c r="G604" s="30">
        <v>198</v>
      </c>
      <c r="H604" s="1061">
        <f>CEILING(G604,'Parametros Generales'!$C$8)</f>
        <v>200</v>
      </c>
      <c r="I604" s="1059" t="s">
        <v>404</v>
      </c>
      <c r="J604" s="1058">
        <v>200</v>
      </c>
      <c r="K604" s="1070" t="str">
        <f t="shared" si="44"/>
        <v>Ok</v>
      </c>
      <c r="L604" s="1077">
        <f t="shared" si="45"/>
        <v>0</v>
      </c>
      <c r="M604" s="1090">
        <f>+H604/'Parametros Generales'!$C$8</f>
        <v>8</v>
      </c>
      <c r="N604" s="1097"/>
      <c r="O604" s="1097"/>
      <c r="P604" s="1097"/>
      <c r="Q604" s="1097"/>
      <c r="R604" s="1097">
        <f>+(M604/'Parametros Generales'!$C$9)</f>
        <v>2</v>
      </c>
      <c r="S604" s="390"/>
      <c r="T604" s="390"/>
      <c r="U604" s="390"/>
      <c r="V604" s="389"/>
      <c r="W604" s="32">
        <f>+R604*'Componentes T.H.'!$Q$9*'Parametros Generales'!$C$6</f>
        <v>10037014.142000001</v>
      </c>
      <c r="X604" s="32">
        <f>(+VLOOKUP(C604,'Transporte y Viaticos'!$B$87:$L$120,2,0)*'Parametros Generales'!$C$7*R604)*(2/3)</f>
        <v>1556876.9096810224</v>
      </c>
      <c r="Y604" s="417"/>
      <c r="Z604" s="417"/>
      <c r="AA604" s="417"/>
      <c r="AB604" s="417">
        <f>+M604*'Parametros Generales'!$C$6*'Parametros Generales'!$J$9</f>
        <v>3895272.7272727285</v>
      </c>
      <c r="AC604" s="417">
        <f>+H604*'Parametros Generales'!$J$10*'Parametros Generales'!$C$6*'Parametros Generales'!$C$11</f>
        <v>14738498.767401624</v>
      </c>
      <c r="AD604" s="417"/>
      <c r="AE604" s="417"/>
      <c r="AF604" s="417"/>
      <c r="AG604" s="417"/>
      <c r="AH604" s="417"/>
      <c r="AI604" s="417"/>
      <c r="AJ604" s="417"/>
      <c r="AK604" s="436"/>
      <c r="AL604" s="822"/>
    </row>
    <row r="605" spans="1:38" s="33" customFormat="1" hidden="1" outlineLevel="1">
      <c r="A605" s="1150"/>
      <c r="B605" s="821">
        <v>27</v>
      </c>
      <c r="C605" s="371" t="s">
        <v>1963</v>
      </c>
      <c r="D605" s="31">
        <f>+VLOOKUP(E605,Codigos!$A$1:$B$1123,2,0)</f>
        <v>27787</v>
      </c>
      <c r="E605" s="1111" t="s">
        <v>1977</v>
      </c>
      <c r="F605" s="1103">
        <v>1</v>
      </c>
      <c r="G605" s="30">
        <v>198</v>
      </c>
      <c r="H605" s="1061">
        <f>CEILING((G605+100),'Parametros Generales'!$C$8)</f>
        <v>300</v>
      </c>
      <c r="I605" s="1057" t="s">
        <v>405</v>
      </c>
      <c r="J605" s="1058">
        <v>300</v>
      </c>
      <c r="K605" s="1070" t="str">
        <f t="shared" si="44"/>
        <v>Ok</v>
      </c>
      <c r="L605" s="1077">
        <f t="shared" si="45"/>
        <v>0</v>
      </c>
      <c r="M605" s="1090">
        <f>+H605/'Parametros Generales'!$C$8</f>
        <v>12</v>
      </c>
      <c r="N605" s="1097"/>
      <c r="O605" s="1097"/>
      <c r="P605" s="1097"/>
      <c r="Q605" s="1097"/>
      <c r="R605" s="1097">
        <f>+(M605/'Parametros Generales'!$C$9)</f>
        <v>3</v>
      </c>
      <c r="S605" s="390"/>
      <c r="T605" s="390"/>
      <c r="U605" s="390"/>
      <c r="V605" s="389"/>
      <c r="W605" s="32">
        <f>+R605*'Componentes T.H.'!$Q$9*'Parametros Generales'!$C$6</f>
        <v>15055521.213</v>
      </c>
      <c r="X605" s="32">
        <f>(+VLOOKUP(C605,'Transporte y Viaticos'!$B$87:$L$120,2,0)*'Parametros Generales'!$C$7*R605)*(2/3)</f>
        <v>2335315.3645215337</v>
      </c>
      <c r="Y605" s="417"/>
      <c r="Z605" s="417"/>
      <c r="AA605" s="417"/>
      <c r="AB605" s="417">
        <f>+M605*'Parametros Generales'!$C$6*'Parametros Generales'!$J$9</f>
        <v>5842909.0909090927</v>
      </c>
      <c r="AC605" s="417">
        <f>+H605*'Parametros Generales'!$J$10*'Parametros Generales'!$C$6*'Parametros Generales'!$C$11</f>
        <v>22107748.151102442</v>
      </c>
      <c r="AD605" s="417"/>
      <c r="AE605" s="417"/>
      <c r="AF605" s="417"/>
      <c r="AG605" s="417"/>
      <c r="AH605" s="417"/>
      <c r="AI605" s="417"/>
      <c r="AJ605" s="417"/>
      <c r="AK605" s="436"/>
      <c r="AL605" s="822"/>
    </row>
    <row r="606" spans="1:38" s="33" customFormat="1" hidden="1" outlineLevel="1">
      <c r="A606" s="1150"/>
      <c r="B606" s="823">
        <v>27</v>
      </c>
      <c r="C606" s="373" t="s">
        <v>1963</v>
      </c>
      <c r="D606" s="374">
        <f>+VLOOKUP(E606,Codigos!$A$1:$B$1123,2,0)</f>
        <v>27800</v>
      </c>
      <c r="E606" s="1113" t="s">
        <v>1978</v>
      </c>
      <c r="F606" s="1104">
        <v>1</v>
      </c>
      <c r="G606" s="375">
        <v>198</v>
      </c>
      <c r="H606" s="1062">
        <f>CEILING((G606-50),'Parametros Generales'!$C$8)</f>
        <v>150</v>
      </c>
      <c r="I606" s="1057" t="s">
        <v>406</v>
      </c>
      <c r="J606" s="1058">
        <v>150</v>
      </c>
      <c r="K606" s="1070" t="str">
        <f t="shared" si="44"/>
        <v>Ok</v>
      </c>
      <c r="L606" s="1077">
        <f t="shared" si="45"/>
        <v>0</v>
      </c>
      <c r="M606" s="1091">
        <f>+H606/'Parametros Generales'!$C$8</f>
        <v>6</v>
      </c>
      <c r="N606" s="1098"/>
      <c r="O606" s="1098"/>
      <c r="P606" s="1098"/>
      <c r="Q606" s="1098"/>
      <c r="R606" s="1098">
        <f>+(M606/'Parametros Generales'!$C$9)</f>
        <v>1.5</v>
      </c>
      <c r="S606" s="395"/>
      <c r="T606" s="395"/>
      <c r="U606" s="395"/>
      <c r="V606" s="396"/>
      <c r="W606" s="376">
        <f>+R606*'Componentes T.H.'!$Q$9*'Parametros Generales'!$C$6</f>
        <v>7527760.6064999998</v>
      </c>
      <c r="X606" s="376">
        <f>(+VLOOKUP(C606,'Transporte y Viaticos'!$B$87:$L$120,2,0)*'Parametros Generales'!$C$7*R606)*(2/3)</f>
        <v>1167657.6822607669</v>
      </c>
      <c r="Y606" s="417"/>
      <c r="Z606" s="417"/>
      <c r="AA606" s="417"/>
      <c r="AB606" s="417">
        <f>+M606*'Parametros Generales'!$C$6*'Parametros Generales'!$J$9</f>
        <v>2921454.5454545463</v>
      </c>
      <c r="AC606" s="417">
        <f>+H606*'Parametros Generales'!$J$10*'Parametros Generales'!$C$6*'Parametros Generales'!$C$11</f>
        <v>11053874.075551221</v>
      </c>
      <c r="AD606" s="417"/>
      <c r="AE606" s="417"/>
      <c r="AF606" s="417"/>
      <c r="AG606" s="417"/>
      <c r="AH606" s="417"/>
      <c r="AI606" s="417"/>
      <c r="AJ606" s="417"/>
      <c r="AK606" s="436"/>
      <c r="AL606" s="822"/>
    </row>
    <row r="607" spans="1:38" s="33" customFormat="1" hidden="1" outlineLevel="1">
      <c r="A607" s="1150"/>
      <c r="B607" s="823">
        <f t="shared" ref="B607:B617" si="48">+B606</f>
        <v>27</v>
      </c>
      <c r="C607" s="373" t="str">
        <f t="shared" ref="C607:C617" si="49">+C606</f>
        <v>CHOCÓ</v>
      </c>
      <c r="D607" s="374"/>
      <c r="E607" s="1113"/>
      <c r="F607" s="1104"/>
      <c r="G607" s="375"/>
      <c r="H607" s="1062"/>
      <c r="I607" s="1057"/>
      <c r="J607" s="1058"/>
      <c r="K607" s="1070" t="str">
        <f t="shared" si="44"/>
        <v>Ok</v>
      </c>
      <c r="L607" s="1077">
        <f t="shared" si="45"/>
        <v>0</v>
      </c>
      <c r="M607" s="1091">
        <f>+H607/'Parametros Generales'!$C$8</f>
        <v>0</v>
      </c>
      <c r="N607" s="1098"/>
      <c r="O607" s="1098"/>
      <c r="P607" s="1098"/>
      <c r="Q607" s="1098"/>
      <c r="R607" s="1098">
        <f>+(M607/'Parametros Generales'!$C$9)</f>
        <v>0</v>
      </c>
      <c r="S607" s="395"/>
      <c r="T607" s="395"/>
      <c r="U607" s="395"/>
      <c r="V607" s="396"/>
      <c r="W607" s="376">
        <f>+R607*'Componentes T.H.'!$Q$9*'Parametros Generales'!$C$6</f>
        <v>0</v>
      </c>
      <c r="X607" s="376">
        <f>(+VLOOKUP(C607,'Transporte y Viaticos'!$B$87:$L$120,2,0)*'Parametros Generales'!$C$7*R607)*(2/3)</f>
        <v>0</v>
      </c>
      <c r="Y607" s="417"/>
      <c r="Z607" s="417"/>
      <c r="AA607" s="417"/>
      <c r="AB607" s="417">
        <f>+M607*'Parametros Generales'!$C$6*'Parametros Generales'!$J$9</f>
        <v>0</v>
      </c>
      <c r="AC607" s="417">
        <f>+H607*'Parametros Generales'!$J$10*'Parametros Generales'!$C$6*'Parametros Generales'!$C$11</f>
        <v>0</v>
      </c>
      <c r="AD607" s="417"/>
      <c r="AE607" s="417"/>
      <c r="AF607" s="417"/>
      <c r="AG607" s="417"/>
      <c r="AH607" s="417"/>
      <c r="AI607" s="417"/>
      <c r="AJ607" s="417"/>
      <c r="AK607" s="436"/>
      <c r="AL607" s="822"/>
    </row>
    <row r="608" spans="1:38" s="33" customFormat="1" hidden="1" outlineLevel="1">
      <c r="A608" s="1150"/>
      <c r="B608" s="823">
        <f t="shared" si="48"/>
        <v>27</v>
      </c>
      <c r="C608" s="373" t="str">
        <f t="shared" si="49"/>
        <v>CHOCÓ</v>
      </c>
      <c r="D608" s="374"/>
      <c r="E608" s="1113"/>
      <c r="F608" s="1104"/>
      <c r="G608" s="375"/>
      <c r="H608" s="1062"/>
      <c r="I608" s="1057"/>
      <c r="J608" s="1058"/>
      <c r="K608" s="1070" t="str">
        <f t="shared" si="44"/>
        <v>Ok</v>
      </c>
      <c r="L608" s="1077">
        <f t="shared" si="45"/>
        <v>0</v>
      </c>
      <c r="M608" s="1091">
        <f>+H608/'Parametros Generales'!$C$8</f>
        <v>0</v>
      </c>
      <c r="N608" s="1098"/>
      <c r="O608" s="1098"/>
      <c r="P608" s="1098"/>
      <c r="Q608" s="1098"/>
      <c r="R608" s="1098">
        <f>+(M608/'Parametros Generales'!$C$9)</f>
        <v>0</v>
      </c>
      <c r="S608" s="395"/>
      <c r="T608" s="395"/>
      <c r="U608" s="395"/>
      <c r="V608" s="396"/>
      <c r="W608" s="376">
        <f>+R608*'Componentes T.H.'!$Q$9*'Parametros Generales'!$C$6</f>
        <v>0</v>
      </c>
      <c r="X608" s="376">
        <f>(+VLOOKUP(C608,'Transporte y Viaticos'!$B$87:$L$120,2,0)*'Parametros Generales'!$C$7*R608)*(2/3)</f>
        <v>0</v>
      </c>
      <c r="Y608" s="417"/>
      <c r="Z608" s="417"/>
      <c r="AA608" s="417"/>
      <c r="AB608" s="417">
        <f>+M608*'Parametros Generales'!$C$6*'Parametros Generales'!$J$9</f>
        <v>0</v>
      </c>
      <c r="AC608" s="417">
        <f>+H608*'Parametros Generales'!$J$10*'Parametros Generales'!$C$6*'Parametros Generales'!$C$11</f>
        <v>0</v>
      </c>
      <c r="AD608" s="417"/>
      <c r="AE608" s="417"/>
      <c r="AF608" s="417"/>
      <c r="AG608" s="417"/>
      <c r="AH608" s="417"/>
      <c r="AI608" s="417"/>
      <c r="AJ608" s="417"/>
      <c r="AK608" s="436"/>
      <c r="AL608" s="822"/>
    </row>
    <row r="609" spans="1:38" s="33" customFormat="1" hidden="1" outlineLevel="1">
      <c r="A609" s="1150"/>
      <c r="B609" s="823">
        <f t="shared" si="48"/>
        <v>27</v>
      </c>
      <c r="C609" s="373" t="str">
        <f t="shared" si="49"/>
        <v>CHOCÓ</v>
      </c>
      <c r="D609" s="374"/>
      <c r="E609" s="1113"/>
      <c r="F609" s="1104"/>
      <c r="G609" s="375"/>
      <c r="H609" s="1062"/>
      <c r="I609" s="1057"/>
      <c r="J609" s="1058"/>
      <c r="K609" s="1070" t="str">
        <f t="shared" si="44"/>
        <v>Ok</v>
      </c>
      <c r="L609" s="1077">
        <f t="shared" si="45"/>
        <v>0</v>
      </c>
      <c r="M609" s="1091">
        <f>+H609/'Parametros Generales'!$C$8</f>
        <v>0</v>
      </c>
      <c r="N609" s="1098"/>
      <c r="O609" s="1098"/>
      <c r="P609" s="1098"/>
      <c r="Q609" s="1098"/>
      <c r="R609" s="1098">
        <f>+(M609/'Parametros Generales'!$C$9)</f>
        <v>0</v>
      </c>
      <c r="S609" s="395"/>
      <c r="T609" s="395"/>
      <c r="U609" s="395"/>
      <c r="V609" s="396"/>
      <c r="W609" s="376">
        <f>+R609*'Componentes T.H.'!$Q$9*'Parametros Generales'!$C$6</f>
        <v>0</v>
      </c>
      <c r="X609" s="376">
        <f>(+VLOOKUP(C609,'Transporte y Viaticos'!$B$87:$L$120,2,0)*'Parametros Generales'!$C$7*R609)*(2/3)</f>
        <v>0</v>
      </c>
      <c r="Y609" s="417"/>
      <c r="Z609" s="417"/>
      <c r="AA609" s="417"/>
      <c r="AB609" s="417">
        <f>+M609*'Parametros Generales'!$C$6*'Parametros Generales'!$J$9</f>
        <v>0</v>
      </c>
      <c r="AC609" s="417">
        <f>+H609*'Parametros Generales'!$J$10*'Parametros Generales'!$C$6*'Parametros Generales'!$C$11</f>
        <v>0</v>
      </c>
      <c r="AD609" s="417"/>
      <c r="AE609" s="417"/>
      <c r="AF609" s="417"/>
      <c r="AG609" s="417"/>
      <c r="AH609" s="417"/>
      <c r="AI609" s="417"/>
      <c r="AJ609" s="417"/>
      <c r="AK609" s="436"/>
      <c r="AL609" s="822"/>
    </row>
    <row r="610" spans="1:38" s="33" customFormat="1" hidden="1" outlineLevel="1">
      <c r="A610" s="1150"/>
      <c r="B610" s="823">
        <f t="shared" si="48"/>
        <v>27</v>
      </c>
      <c r="C610" s="373" t="str">
        <f t="shared" si="49"/>
        <v>CHOCÓ</v>
      </c>
      <c r="D610" s="374"/>
      <c r="E610" s="1113"/>
      <c r="F610" s="1104"/>
      <c r="G610" s="375"/>
      <c r="H610" s="1062"/>
      <c r="I610" s="1057"/>
      <c r="J610" s="1058"/>
      <c r="K610" s="1070" t="str">
        <f t="shared" si="44"/>
        <v>Ok</v>
      </c>
      <c r="L610" s="1077">
        <f t="shared" si="45"/>
        <v>0</v>
      </c>
      <c r="M610" s="1091">
        <f>+H610/'Parametros Generales'!$C$8</f>
        <v>0</v>
      </c>
      <c r="N610" s="1098"/>
      <c r="O610" s="1098"/>
      <c r="P610" s="1098"/>
      <c r="Q610" s="1098"/>
      <c r="R610" s="1098">
        <f>+(M610/'Parametros Generales'!$C$9)</f>
        <v>0</v>
      </c>
      <c r="S610" s="395"/>
      <c r="T610" s="395"/>
      <c r="U610" s="395"/>
      <c r="V610" s="396"/>
      <c r="W610" s="376">
        <f>+R610*'Componentes T.H.'!$Q$9*'Parametros Generales'!$C$6</f>
        <v>0</v>
      </c>
      <c r="X610" s="376">
        <f>(+VLOOKUP(C610,'Transporte y Viaticos'!$B$87:$L$120,2,0)*'Parametros Generales'!$C$7*R610)*(2/3)</f>
        <v>0</v>
      </c>
      <c r="Y610" s="417"/>
      <c r="Z610" s="417"/>
      <c r="AA610" s="417"/>
      <c r="AB610" s="417">
        <f>+M610*'Parametros Generales'!$C$6*'Parametros Generales'!$J$9</f>
        <v>0</v>
      </c>
      <c r="AC610" s="417">
        <f>+H610*'Parametros Generales'!$J$10*'Parametros Generales'!$C$6*'Parametros Generales'!$C$11</f>
        <v>0</v>
      </c>
      <c r="AD610" s="417"/>
      <c r="AE610" s="417"/>
      <c r="AF610" s="417"/>
      <c r="AG610" s="417"/>
      <c r="AH610" s="417"/>
      <c r="AI610" s="417"/>
      <c r="AJ610" s="417"/>
      <c r="AK610" s="436"/>
      <c r="AL610" s="822"/>
    </row>
    <row r="611" spans="1:38" s="33" customFormat="1" hidden="1" outlineLevel="1">
      <c r="A611" s="1150"/>
      <c r="B611" s="823">
        <f t="shared" si="48"/>
        <v>27</v>
      </c>
      <c r="C611" s="373" t="str">
        <f t="shared" si="49"/>
        <v>CHOCÓ</v>
      </c>
      <c r="D611" s="374"/>
      <c r="E611" s="1113"/>
      <c r="F611" s="1104"/>
      <c r="G611" s="375"/>
      <c r="H611" s="1062"/>
      <c r="I611" s="1057"/>
      <c r="J611" s="1058"/>
      <c r="K611" s="1070" t="str">
        <f t="shared" si="44"/>
        <v>Ok</v>
      </c>
      <c r="L611" s="1077">
        <f t="shared" si="45"/>
        <v>0</v>
      </c>
      <c r="M611" s="1091">
        <f>+H611/'Parametros Generales'!$C$8</f>
        <v>0</v>
      </c>
      <c r="N611" s="1098"/>
      <c r="O611" s="1098"/>
      <c r="P611" s="1098"/>
      <c r="Q611" s="1098"/>
      <c r="R611" s="1098">
        <f>+(M611/'Parametros Generales'!$C$9)</f>
        <v>0</v>
      </c>
      <c r="S611" s="395"/>
      <c r="T611" s="395"/>
      <c r="U611" s="395"/>
      <c r="V611" s="396"/>
      <c r="W611" s="376">
        <f>+R611*'Componentes T.H.'!$Q$9*'Parametros Generales'!$C$6</f>
        <v>0</v>
      </c>
      <c r="X611" s="376">
        <f>(+VLOOKUP(C611,'Transporte y Viaticos'!$B$87:$L$120,2,0)*'Parametros Generales'!$C$7*R611)*(2/3)</f>
        <v>0</v>
      </c>
      <c r="Y611" s="417"/>
      <c r="Z611" s="417"/>
      <c r="AA611" s="417"/>
      <c r="AB611" s="417">
        <f>+M611*'Parametros Generales'!$C$6*'Parametros Generales'!$J$9</f>
        <v>0</v>
      </c>
      <c r="AC611" s="417">
        <f>+H611*'Parametros Generales'!$J$10*'Parametros Generales'!$C$6*'Parametros Generales'!$C$11</f>
        <v>0</v>
      </c>
      <c r="AD611" s="417"/>
      <c r="AE611" s="417"/>
      <c r="AF611" s="417"/>
      <c r="AG611" s="417"/>
      <c r="AH611" s="417"/>
      <c r="AI611" s="417"/>
      <c r="AJ611" s="417"/>
      <c r="AK611" s="436"/>
      <c r="AL611" s="822"/>
    </row>
    <row r="612" spans="1:38" s="33" customFormat="1" hidden="1" outlineLevel="1">
      <c r="A612" s="1150"/>
      <c r="B612" s="823">
        <f t="shared" si="48"/>
        <v>27</v>
      </c>
      <c r="C612" s="373" t="str">
        <f t="shared" si="49"/>
        <v>CHOCÓ</v>
      </c>
      <c r="D612" s="374"/>
      <c r="E612" s="1113"/>
      <c r="F612" s="1104"/>
      <c r="G612" s="375"/>
      <c r="H612" s="1062"/>
      <c r="I612" s="1057"/>
      <c r="J612" s="1058"/>
      <c r="K612" s="1070" t="str">
        <f t="shared" si="44"/>
        <v>Ok</v>
      </c>
      <c r="L612" s="1077">
        <f t="shared" si="45"/>
        <v>0</v>
      </c>
      <c r="M612" s="1091">
        <f>+H612/'Parametros Generales'!$C$8</f>
        <v>0</v>
      </c>
      <c r="N612" s="1098"/>
      <c r="O612" s="1098"/>
      <c r="P612" s="1098"/>
      <c r="Q612" s="1098"/>
      <c r="R612" s="1098">
        <f>+(M612/'Parametros Generales'!$C$9)</f>
        <v>0</v>
      </c>
      <c r="S612" s="395"/>
      <c r="T612" s="395"/>
      <c r="U612" s="395"/>
      <c r="V612" s="396"/>
      <c r="W612" s="376">
        <f>+R612*'Componentes T.H.'!$Q$9*'Parametros Generales'!$C$6</f>
        <v>0</v>
      </c>
      <c r="X612" s="376">
        <f>(+VLOOKUP(C612,'Transporte y Viaticos'!$B$87:$L$120,2,0)*'Parametros Generales'!$C$7*R612)*(2/3)</f>
        <v>0</v>
      </c>
      <c r="Y612" s="417"/>
      <c r="Z612" s="417"/>
      <c r="AA612" s="417"/>
      <c r="AB612" s="417">
        <f>+M612*'Parametros Generales'!$C$6*'Parametros Generales'!$J$9</f>
        <v>0</v>
      </c>
      <c r="AC612" s="417">
        <f>+H612*'Parametros Generales'!$J$10*'Parametros Generales'!$C$6*'Parametros Generales'!$C$11</f>
        <v>0</v>
      </c>
      <c r="AD612" s="417"/>
      <c r="AE612" s="417"/>
      <c r="AF612" s="417"/>
      <c r="AG612" s="417"/>
      <c r="AH612" s="417"/>
      <c r="AI612" s="417"/>
      <c r="AJ612" s="417"/>
      <c r="AK612" s="436"/>
      <c r="AL612" s="822"/>
    </row>
    <row r="613" spans="1:38" s="33" customFormat="1" hidden="1" outlineLevel="1">
      <c r="A613" s="1150"/>
      <c r="B613" s="823">
        <f t="shared" si="48"/>
        <v>27</v>
      </c>
      <c r="C613" s="373" t="str">
        <f t="shared" si="49"/>
        <v>CHOCÓ</v>
      </c>
      <c r="D613" s="374"/>
      <c r="E613" s="1113"/>
      <c r="F613" s="1104"/>
      <c r="G613" s="375"/>
      <c r="H613" s="1062"/>
      <c r="I613" s="1057"/>
      <c r="J613" s="1058"/>
      <c r="K613" s="1070" t="str">
        <f t="shared" si="44"/>
        <v>Ok</v>
      </c>
      <c r="L613" s="1077">
        <f t="shared" si="45"/>
        <v>0</v>
      </c>
      <c r="M613" s="1091">
        <f>+H613/'Parametros Generales'!$C$8</f>
        <v>0</v>
      </c>
      <c r="N613" s="1098"/>
      <c r="O613" s="1098"/>
      <c r="P613" s="1098"/>
      <c r="Q613" s="1098"/>
      <c r="R613" s="1098">
        <f>+(M613/'Parametros Generales'!$C$9)</f>
        <v>0</v>
      </c>
      <c r="S613" s="395"/>
      <c r="T613" s="395"/>
      <c r="U613" s="395"/>
      <c r="V613" s="396"/>
      <c r="W613" s="376">
        <f>+R613*'Componentes T.H.'!$Q$9*'Parametros Generales'!$C$6</f>
        <v>0</v>
      </c>
      <c r="X613" s="376">
        <f>(+VLOOKUP(C613,'Transporte y Viaticos'!$B$87:$L$120,2,0)*'Parametros Generales'!$C$7*R613)*(2/3)</f>
        <v>0</v>
      </c>
      <c r="Y613" s="417"/>
      <c r="Z613" s="417"/>
      <c r="AA613" s="417"/>
      <c r="AB613" s="417">
        <f>+M613*'Parametros Generales'!$C$6*'Parametros Generales'!$J$9</f>
        <v>0</v>
      </c>
      <c r="AC613" s="417">
        <f>+H613*'Parametros Generales'!$J$10*'Parametros Generales'!$C$6*'Parametros Generales'!$C$11</f>
        <v>0</v>
      </c>
      <c r="AD613" s="417"/>
      <c r="AE613" s="417"/>
      <c r="AF613" s="417"/>
      <c r="AG613" s="417"/>
      <c r="AH613" s="417"/>
      <c r="AI613" s="417"/>
      <c r="AJ613" s="417"/>
      <c r="AK613" s="436"/>
      <c r="AL613" s="822"/>
    </row>
    <row r="614" spans="1:38" s="33" customFormat="1" hidden="1" outlineLevel="1">
      <c r="A614" s="1150"/>
      <c r="B614" s="823">
        <f t="shared" si="48"/>
        <v>27</v>
      </c>
      <c r="C614" s="373" t="str">
        <f t="shared" si="49"/>
        <v>CHOCÓ</v>
      </c>
      <c r="D614" s="374"/>
      <c r="E614" s="1113"/>
      <c r="F614" s="1104"/>
      <c r="G614" s="375"/>
      <c r="H614" s="1062"/>
      <c r="I614" s="1057"/>
      <c r="J614" s="1058"/>
      <c r="K614" s="1070" t="str">
        <f t="shared" si="44"/>
        <v>Ok</v>
      </c>
      <c r="L614" s="1077">
        <f t="shared" si="45"/>
        <v>0</v>
      </c>
      <c r="M614" s="1091">
        <f>+H614/'Parametros Generales'!$C$8</f>
        <v>0</v>
      </c>
      <c r="N614" s="1098"/>
      <c r="O614" s="1098"/>
      <c r="P614" s="1098"/>
      <c r="Q614" s="1098"/>
      <c r="R614" s="1098">
        <f>+(M614/'Parametros Generales'!$C$9)</f>
        <v>0</v>
      </c>
      <c r="S614" s="395"/>
      <c r="T614" s="395"/>
      <c r="U614" s="395"/>
      <c r="V614" s="396"/>
      <c r="W614" s="376">
        <f>+R614*'Componentes T.H.'!$Q$9*'Parametros Generales'!$C$6</f>
        <v>0</v>
      </c>
      <c r="X614" s="376">
        <f>(+VLOOKUP(C614,'Transporte y Viaticos'!$B$87:$L$120,2,0)*'Parametros Generales'!$C$7*R614)*(2/3)</f>
        <v>0</v>
      </c>
      <c r="Y614" s="417"/>
      <c r="Z614" s="417"/>
      <c r="AA614" s="417"/>
      <c r="AB614" s="417">
        <f>+M614*'Parametros Generales'!$C$6*'Parametros Generales'!$J$9</f>
        <v>0</v>
      </c>
      <c r="AC614" s="417">
        <f>+H614*'Parametros Generales'!$J$10*'Parametros Generales'!$C$6*'Parametros Generales'!$C$11</f>
        <v>0</v>
      </c>
      <c r="AD614" s="417"/>
      <c r="AE614" s="417"/>
      <c r="AF614" s="417"/>
      <c r="AG614" s="417"/>
      <c r="AH614" s="417"/>
      <c r="AI614" s="417"/>
      <c r="AJ614" s="417"/>
      <c r="AK614" s="436"/>
      <c r="AL614" s="822"/>
    </row>
    <row r="615" spans="1:38" s="33" customFormat="1" hidden="1" outlineLevel="1">
      <c r="A615" s="1150"/>
      <c r="B615" s="823">
        <f t="shared" si="48"/>
        <v>27</v>
      </c>
      <c r="C615" s="373" t="str">
        <f t="shared" si="49"/>
        <v>CHOCÓ</v>
      </c>
      <c r="D615" s="374"/>
      <c r="E615" s="1113"/>
      <c r="F615" s="1104"/>
      <c r="G615" s="375"/>
      <c r="H615" s="1062"/>
      <c r="I615" s="1057"/>
      <c r="J615" s="1058"/>
      <c r="K615" s="1070" t="str">
        <f t="shared" si="44"/>
        <v>Ok</v>
      </c>
      <c r="L615" s="1077">
        <f t="shared" si="45"/>
        <v>0</v>
      </c>
      <c r="M615" s="1091">
        <f>+H615/'Parametros Generales'!$C$8</f>
        <v>0</v>
      </c>
      <c r="N615" s="1098"/>
      <c r="O615" s="1098"/>
      <c r="P615" s="1098"/>
      <c r="Q615" s="1098"/>
      <c r="R615" s="1098">
        <f>+(M615/'Parametros Generales'!$C$9)</f>
        <v>0</v>
      </c>
      <c r="S615" s="395"/>
      <c r="T615" s="395"/>
      <c r="U615" s="395"/>
      <c r="V615" s="396"/>
      <c r="W615" s="376">
        <f>+R615*'Componentes T.H.'!$Q$9*'Parametros Generales'!$C$6</f>
        <v>0</v>
      </c>
      <c r="X615" s="376">
        <f>(+VLOOKUP(C615,'Transporte y Viaticos'!$B$87:$L$120,2,0)*'Parametros Generales'!$C$7*R615)*(2/3)</f>
        <v>0</v>
      </c>
      <c r="Y615" s="417"/>
      <c r="Z615" s="417"/>
      <c r="AA615" s="417"/>
      <c r="AB615" s="417">
        <f>+M615*'Parametros Generales'!$C$6*'Parametros Generales'!$J$9</f>
        <v>0</v>
      </c>
      <c r="AC615" s="417">
        <f>+H615*'Parametros Generales'!$J$10*'Parametros Generales'!$C$6*'Parametros Generales'!$C$11</f>
        <v>0</v>
      </c>
      <c r="AD615" s="417"/>
      <c r="AE615" s="417"/>
      <c r="AF615" s="417"/>
      <c r="AG615" s="417"/>
      <c r="AH615" s="417"/>
      <c r="AI615" s="417"/>
      <c r="AJ615" s="417"/>
      <c r="AK615" s="436"/>
      <c r="AL615" s="822"/>
    </row>
    <row r="616" spans="1:38" s="33" customFormat="1" hidden="1" outlineLevel="1">
      <c r="A616" s="1150"/>
      <c r="B616" s="823">
        <f t="shared" si="48"/>
        <v>27</v>
      </c>
      <c r="C616" s="373" t="str">
        <f t="shared" si="49"/>
        <v>CHOCÓ</v>
      </c>
      <c r="D616" s="374"/>
      <c r="E616" s="1113"/>
      <c r="F616" s="1104"/>
      <c r="G616" s="375"/>
      <c r="H616" s="1062"/>
      <c r="I616" s="1057"/>
      <c r="J616" s="1058"/>
      <c r="K616" s="1070" t="str">
        <f t="shared" si="44"/>
        <v>Ok</v>
      </c>
      <c r="L616" s="1077">
        <f t="shared" si="45"/>
        <v>0</v>
      </c>
      <c r="M616" s="1091">
        <f>+H616/'Parametros Generales'!$C$8</f>
        <v>0</v>
      </c>
      <c r="N616" s="1098"/>
      <c r="O616" s="1098"/>
      <c r="P616" s="1098"/>
      <c r="Q616" s="1098"/>
      <c r="R616" s="1098">
        <f>+(M616/'Parametros Generales'!$C$9)</f>
        <v>0</v>
      </c>
      <c r="S616" s="395"/>
      <c r="T616" s="395"/>
      <c r="U616" s="395"/>
      <c r="V616" s="396"/>
      <c r="W616" s="376">
        <f>+R616*'Componentes T.H.'!$Q$9*'Parametros Generales'!$C$6</f>
        <v>0</v>
      </c>
      <c r="X616" s="376">
        <f>(+VLOOKUP(C616,'Transporte y Viaticos'!$B$87:$L$120,2,0)*'Parametros Generales'!$C$7*R616)*(2/3)</f>
        <v>0</v>
      </c>
      <c r="Y616" s="417"/>
      <c r="Z616" s="417"/>
      <c r="AA616" s="417"/>
      <c r="AB616" s="417">
        <f>+M616*'Parametros Generales'!$C$6*'Parametros Generales'!$J$9</f>
        <v>0</v>
      </c>
      <c r="AC616" s="417">
        <f>+H616*'Parametros Generales'!$J$10*'Parametros Generales'!$C$6*'Parametros Generales'!$C$11</f>
        <v>0</v>
      </c>
      <c r="AD616" s="417"/>
      <c r="AE616" s="417"/>
      <c r="AF616" s="417"/>
      <c r="AG616" s="417"/>
      <c r="AH616" s="417"/>
      <c r="AI616" s="417"/>
      <c r="AJ616" s="417"/>
      <c r="AK616" s="436"/>
      <c r="AL616" s="822"/>
    </row>
    <row r="617" spans="1:38" s="33" customFormat="1" hidden="1" outlineLevel="1">
      <c r="A617" s="1150"/>
      <c r="B617" s="823">
        <f t="shared" si="48"/>
        <v>27</v>
      </c>
      <c r="C617" s="373" t="str">
        <f t="shared" si="49"/>
        <v>CHOCÓ</v>
      </c>
      <c r="D617" s="374"/>
      <c r="E617" s="1113"/>
      <c r="F617" s="1104"/>
      <c r="G617" s="375"/>
      <c r="H617" s="1062"/>
      <c r="I617" s="1057"/>
      <c r="J617" s="1058"/>
      <c r="K617" s="1070" t="str">
        <f t="shared" si="44"/>
        <v>Ok</v>
      </c>
      <c r="L617" s="1077">
        <f t="shared" si="45"/>
        <v>0</v>
      </c>
      <c r="M617" s="1091">
        <f>+H617/'Parametros Generales'!$C$8</f>
        <v>0</v>
      </c>
      <c r="N617" s="1098"/>
      <c r="O617" s="1098"/>
      <c r="P617" s="1098"/>
      <c r="Q617" s="1098"/>
      <c r="R617" s="1098">
        <f>+(M617/'Parametros Generales'!$C$9)</f>
        <v>0</v>
      </c>
      <c r="S617" s="395"/>
      <c r="T617" s="395"/>
      <c r="U617" s="395"/>
      <c r="V617" s="396"/>
      <c r="W617" s="376">
        <f>+R617*'Componentes T.H.'!$Q$9*'Parametros Generales'!$C$6</f>
        <v>0</v>
      </c>
      <c r="X617" s="376">
        <f>(+VLOOKUP(C617,'Transporte y Viaticos'!$B$87:$L$120,2,0)*'Parametros Generales'!$C$7*R617)*(2/3)</f>
        <v>0</v>
      </c>
      <c r="Y617" s="417"/>
      <c r="Z617" s="417"/>
      <c r="AA617" s="417"/>
      <c r="AB617" s="417">
        <f>+M617*'Parametros Generales'!$C$6*'Parametros Generales'!$J$9</f>
        <v>0</v>
      </c>
      <c r="AC617" s="417">
        <f>+H617*'Parametros Generales'!$J$10*'Parametros Generales'!$C$6*'Parametros Generales'!$C$11</f>
        <v>0</v>
      </c>
      <c r="AD617" s="417"/>
      <c r="AE617" s="417"/>
      <c r="AF617" s="417"/>
      <c r="AG617" s="417"/>
      <c r="AH617" s="417"/>
      <c r="AI617" s="417"/>
      <c r="AJ617" s="417"/>
      <c r="AK617" s="436"/>
      <c r="AL617" s="822"/>
    </row>
    <row r="618" spans="1:38" s="392" customFormat="1" collapsed="1">
      <c r="A618" s="1151">
        <v>13</v>
      </c>
      <c r="B618" s="824">
        <v>41</v>
      </c>
      <c r="C618" s="385" t="s">
        <v>407</v>
      </c>
      <c r="D618" s="386"/>
      <c r="E618" s="1114" t="s">
        <v>407</v>
      </c>
      <c r="F618" s="1105">
        <f>SUM(F619:F653)</f>
        <v>21</v>
      </c>
      <c r="G618" s="388">
        <f>+SUM(G619:G639)</f>
        <v>4852</v>
      </c>
      <c r="H618" s="512">
        <f>+SUM(H619:H653)</f>
        <v>4850</v>
      </c>
      <c r="I618" s="1057" t="s">
        <v>407</v>
      </c>
      <c r="J618" s="1067">
        <v>4850</v>
      </c>
      <c r="K618" s="1069" t="str">
        <f t="shared" si="44"/>
        <v>Ok</v>
      </c>
      <c r="L618" s="1077">
        <f t="shared" si="45"/>
        <v>0</v>
      </c>
      <c r="M618" s="512">
        <f>+SUM(M619:M653)</f>
        <v>194</v>
      </c>
      <c r="N618" s="1073">
        <f>+VLOOKUP(H618,'Parametros Generales'!$B$14:$D$17,3,TRUE)</f>
        <v>0.6</v>
      </c>
      <c r="O618" s="1073">
        <f>+VLOOKUP(H618,'Parametros Generales'!$B$14:$D$17,3,TRUE)</f>
        <v>0.6</v>
      </c>
      <c r="P618" s="1073">
        <f>+VLOOKUP(H618,'Parametros Generales'!$B$14:$D$17,3,TRUE)</f>
        <v>0.6</v>
      </c>
      <c r="Q618" s="1073">
        <f>+R618/'Parametros Generales'!$C$10</f>
        <v>6.0625</v>
      </c>
      <c r="R618" s="512">
        <f>+SUM(R619:R653)</f>
        <v>48.5</v>
      </c>
      <c r="S618" s="390">
        <f>+VLOOKUP(S$1,'Componentes T.H.'!$B$4:$R$22,'Componentes T.H.'!$Q$1,0)*'Parametros Generales'!$C$6*'Cost x Depart'!N618</f>
        <v>8794058.4826000016</v>
      </c>
      <c r="T618" s="390">
        <f>+VLOOKUP(T$1,'Componentes T.H.'!$B$4:$R$22,'Componentes T.H.'!$Q$1,0)*'Parametros Generales'!$C$6*'Cost x Depart'!O618</f>
        <v>6626289.3953999998</v>
      </c>
      <c r="U618" s="390">
        <f>+VLOOKUP(U$1,'Componentes T.H.'!$B$4:$R$22,'Componentes T.H.'!$Q$1,0)*'Parametros Generales'!$C$6*'Cost x Depart'!P618</f>
        <v>2934259.1999999997</v>
      </c>
      <c r="V618" s="389">
        <f>+VLOOKUP(V$1,'Componentes T.H.'!$B$4:$R$22,'Componentes T.H.'!$Q$1,0)*'Parametros Generales'!$C$6*'Cost x Depart'!Q618</f>
        <v>60570725.676895835</v>
      </c>
      <c r="W618" s="512">
        <f>+SUM(W619:W653)</f>
        <v>243397592.94349995</v>
      </c>
      <c r="X618" s="512">
        <f>+SUM(X619:X653)</f>
        <v>23161370.591451406</v>
      </c>
      <c r="Y618" s="391">
        <f>+VLOOKUP(C619,'Transporte y Viaticos'!$B$87:$F$120,2,0)*((O618/'Parametros Generales'!$J$14)+(Q618/'Parametros Generales'!$J$15)+(R618/'Parametros Generales'!$J$16))*'Parametros Generales'!$C$6</f>
        <v>1107179.1779508886</v>
      </c>
      <c r="Z618" s="391">
        <f>+(N618+O618+Q618)*'Parametros Generales'!$C$6*'Parametros Generales'!$J$7</f>
        <v>1427952.75</v>
      </c>
      <c r="AA618" s="391">
        <f>+SUM(N618:R618)*'Parametros Generales'!$C$6*'Parametros Generales'!$J$8</f>
        <v>10117068.75</v>
      </c>
      <c r="AB618" s="512">
        <f>+SUM(AB619:AB653)</f>
        <v>94460363.636363685</v>
      </c>
      <c r="AC618" s="512">
        <f>+SUM(AC619:AC653)</f>
        <v>357408595.1094895</v>
      </c>
      <c r="AD618" s="391">
        <f>+'Parametros Generales'!$J$11*SUM(N618:R618)</f>
        <v>1896034.5</v>
      </c>
      <c r="AE618" s="436">
        <f>+SUM(S618:AD618)</f>
        <v>811901490.21365118</v>
      </c>
      <c r="AF618" s="391">
        <f>+AE618*(SUM('Res de Costos Pais'!G117:G117))</f>
        <v>55615252.079635113</v>
      </c>
      <c r="AG618" s="391">
        <f>+AE618+AF618</f>
        <v>867516742.29328632</v>
      </c>
      <c r="AH618" s="391">
        <f>+AG618*SUM('Res de Costos Pais'!$G$123:$G$124)</f>
        <v>8380211.7305531465</v>
      </c>
      <c r="AI618" s="391">
        <f>+(AG618+AH618)*'Res de Costos Pais'!$G$136</f>
        <v>2364921.7758643669</v>
      </c>
      <c r="AJ618" s="391">
        <f>+(AG618+AH618+AI618)*'Res de Costos Pais'!$G$140</f>
        <v>3513047.5031988155</v>
      </c>
      <c r="AK618" s="391">
        <f>+AG618+AH618+AI618+AJ618</f>
        <v>881774923.3029027</v>
      </c>
      <c r="AL618" s="820">
        <f>IF(ISERROR((+(AK618/H618)/'Parametros Generales'!$C$6)),0,(+(AK618/H618)/'Parametros Generales'!$C$6))</f>
        <v>36361.852507336196</v>
      </c>
    </row>
    <row r="619" spans="1:38" s="33" customFormat="1" hidden="1" outlineLevel="1">
      <c r="A619" s="1150"/>
      <c r="B619" s="819">
        <v>41</v>
      </c>
      <c r="C619" s="377" t="s">
        <v>407</v>
      </c>
      <c r="D619" s="378">
        <f>+VLOOKUP(E619,Codigos!$A$1:$B$1123,2,0)</f>
        <v>41001</v>
      </c>
      <c r="E619" s="1110" t="s">
        <v>1979</v>
      </c>
      <c r="F619" s="1102">
        <v>1</v>
      </c>
      <c r="G619" s="379">
        <v>990</v>
      </c>
      <c r="H619" s="1060">
        <f>CEILING(G619,'Parametros Generales'!$C$8)</f>
        <v>1000</v>
      </c>
      <c r="I619" s="1057" t="s">
        <v>408</v>
      </c>
      <c r="J619" s="1058">
        <v>1000</v>
      </c>
      <c r="K619" s="1070" t="str">
        <f t="shared" si="44"/>
        <v>Ok</v>
      </c>
      <c r="L619" s="1077">
        <f t="shared" si="45"/>
        <v>0</v>
      </c>
      <c r="M619" s="1089">
        <f>+H619/'Parametros Generales'!$C$8</f>
        <v>40</v>
      </c>
      <c r="N619" s="1096"/>
      <c r="O619" s="1096"/>
      <c r="P619" s="1096"/>
      <c r="Q619" s="1096"/>
      <c r="R619" s="1096">
        <f>+(M619/'Parametros Generales'!$C$9)</f>
        <v>10</v>
      </c>
      <c r="S619" s="393"/>
      <c r="T619" s="393"/>
      <c r="U619" s="393"/>
      <c r="V619" s="394"/>
      <c r="W619" s="380">
        <f>+R619*'Componentes T.H.'!$Q$9*'Parametros Generales'!$C$6</f>
        <v>50185070.710000008</v>
      </c>
      <c r="X619" s="380">
        <f>(+VLOOKUP(C619,'Transporte y Viaticos'!$B$87:$L$120,2,0)*'Parametros Generales'!$C$7*R619)*(2/3)</f>
        <v>4775540.3281343095</v>
      </c>
      <c r="Y619" s="417"/>
      <c r="Z619" s="417"/>
      <c r="AA619" s="417"/>
      <c r="AB619" s="417">
        <f>+M619*'Parametros Generales'!$C$6*'Parametros Generales'!$J$9</f>
        <v>19476363.63636364</v>
      </c>
      <c r="AC619" s="417">
        <f>+H619*'Parametros Generales'!$J$10*'Parametros Generales'!$C$6*'Parametros Generales'!$C$11</f>
        <v>73692493.837008134</v>
      </c>
      <c r="AD619" s="417"/>
      <c r="AE619" s="417"/>
      <c r="AF619" s="417"/>
      <c r="AG619" s="417"/>
      <c r="AH619" s="417"/>
      <c r="AI619" s="417"/>
      <c r="AJ619" s="417"/>
      <c r="AK619" s="436"/>
      <c r="AL619" s="822"/>
    </row>
    <row r="620" spans="1:38" s="33" customFormat="1" hidden="1" outlineLevel="1">
      <c r="A620" s="1150"/>
      <c r="B620" s="821">
        <v>41</v>
      </c>
      <c r="C620" s="371" t="s">
        <v>407</v>
      </c>
      <c r="D620" s="31">
        <f>+VLOOKUP(E620,Codigos!$A$1:$B$1123,2,0)</f>
        <v>41006</v>
      </c>
      <c r="E620" s="1111" t="s">
        <v>1980</v>
      </c>
      <c r="F620" s="1103">
        <v>1</v>
      </c>
      <c r="G620" s="30">
        <v>198</v>
      </c>
      <c r="H620" s="1061">
        <f>CEILING(G620,'Parametros Generales'!$C$8)</f>
        <v>200</v>
      </c>
      <c r="I620" s="1057" t="s">
        <v>409</v>
      </c>
      <c r="J620" s="1058">
        <v>200</v>
      </c>
      <c r="K620" s="1070" t="str">
        <f t="shared" si="44"/>
        <v>Ok</v>
      </c>
      <c r="L620" s="1077">
        <f t="shared" si="45"/>
        <v>0</v>
      </c>
      <c r="M620" s="1090">
        <f>+H620/'Parametros Generales'!$C$8</f>
        <v>8</v>
      </c>
      <c r="N620" s="1097"/>
      <c r="O620" s="1097"/>
      <c r="P620" s="1097"/>
      <c r="Q620" s="1097"/>
      <c r="R620" s="1097">
        <f>+(M620/'Parametros Generales'!$C$9)</f>
        <v>2</v>
      </c>
      <c r="S620" s="390"/>
      <c r="T620" s="390"/>
      <c r="U620" s="390"/>
      <c r="V620" s="389"/>
      <c r="W620" s="32">
        <f>+R620*'Componentes T.H.'!$Q$9*'Parametros Generales'!$C$6</f>
        <v>10037014.142000001</v>
      </c>
      <c r="X620" s="32">
        <f>(+VLOOKUP(C620,'Transporte y Viaticos'!$B$87:$L$120,2,0)*'Parametros Generales'!$C$7*R620)*(2/3)</f>
        <v>955108.06562686176</v>
      </c>
      <c r="Y620" s="417"/>
      <c r="Z620" s="417"/>
      <c r="AA620" s="417"/>
      <c r="AB620" s="417">
        <f>+M620*'Parametros Generales'!$C$6*'Parametros Generales'!$J$9</f>
        <v>3895272.7272727285</v>
      </c>
      <c r="AC620" s="417">
        <f>+H620*'Parametros Generales'!$J$10*'Parametros Generales'!$C$6*'Parametros Generales'!$C$11</f>
        <v>14738498.767401624</v>
      </c>
      <c r="AD620" s="417"/>
      <c r="AE620" s="417"/>
      <c r="AF620" s="417"/>
      <c r="AG620" s="417"/>
      <c r="AH620" s="417"/>
      <c r="AI620" s="417"/>
      <c r="AJ620" s="417"/>
      <c r="AK620" s="436"/>
      <c r="AL620" s="822"/>
    </row>
    <row r="621" spans="1:38" s="33" customFormat="1" hidden="1" outlineLevel="1">
      <c r="A621" s="1150"/>
      <c r="B621" s="821">
        <v>41</v>
      </c>
      <c r="C621" s="371" t="s">
        <v>407</v>
      </c>
      <c r="D621" s="31">
        <f>+VLOOKUP(E621,Codigos!$A$1:$B$1123,2,0)</f>
        <v>41016</v>
      </c>
      <c r="E621" s="1111" t="s">
        <v>1981</v>
      </c>
      <c r="F621" s="1103">
        <v>1</v>
      </c>
      <c r="G621" s="30">
        <v>198</v>
      </c>
      <c r="H621" s="1061">
        <f>CEILING(G621,'Parametros Generales'!$C$8)</f>
        <v>200</v>
      </c>
      <c r="I621" s="1057" t="s">
        <v>410</v>
      </c>
      <c r="J621" s="1058">
        <v>200</v>
      </c>
      <c r="K621" s="1070" t="str">
        <f t="shared" si="44"/>
        <v>Ok</v>
      </c>
      <c r="L621" s="1076">
        <f t="shared" si="45"/>
        <v>0</v>
      </c>
      <c r="M621" s="1090">
        <f>+H621/'Parametros Generales'!$C$8</f>
        <v>8</v>
      </c>
      <c r="N621" s="1097"/>
      <c r="O621" s="1097"/>
      <c r="P621" s="1097"/>
      <c r="Q621" s="1097"/>
      <c r="R621" s="1097">
        <f>+(M621/'Parametros Generales'!$C$9)</f>
        <v>2</v>
      </c>
      <c r="S621" s="390"/>
      <c r="T621" s="390"/>
      <c r="U621" s="390"/>
      <c r="V621" s="389"/>
      <c r="W621" s="32">
        <f>+R621*'Componentes T.H.'!$Q$9*'Parametros Generales'!$C$6</f>
        <v>10037014.142000001</v>
      </c>
      <c r="X621" s="32">
        <f>(+VLOOKUP(C621,'Transporte y Viaticos'!$B$87:$L$120,2,0)*'Parametros Generales'!$C$7*R621)*(2/3)</f>
        <v>955108.06562686176</v>
      </c>
      <c r="Y621" s="417"/>
      <c r="Z621" s="417"/>
      <c r="AA621" s="417"/>
      <c r="AB621" s="417">
        <f>+M621*'Parametros Generales'!$C$6*'Parametros Generales'!$J$9</f>
        <v>3895272.7272727285</v>
      </c>
      <c r="AC621" s="417">
        <f>+H621*'Parametros Generales'!$J$10*'Parametros Generales'!$C$6*'Parametros Generales'!$C$11</f>
        <v>14738498.767401624</v>
      </c>
      <c r="AD621" s="417"/>
      <c r="AE621" s="417"/>
      <c r="AF621" s="417"/>
      <c r="AG621" s="417"/>
      <c r="AH621" s="417"/>
      <c r="AI621" s="417"/>
      <c r="AJ621" s="417"/>
      <c r="AK621" s="436"/>
      <c r="AL621" s="822"/>
    </row>
    <row r="622" spans="1:38" s="33" customFormat="1" hidden="1" outlineLevel="1">
      <c r="A622" s="1150"/>
      <c r="B622" s="821">
        <v>41</v>
      </c>
      <c r="C622" s="371" t="s">
        <v>407</v>
      </c>
      <c r="D622" s="31">
        <f>+VLOOKUP(E622,Codigos!$A$1:$B$1123,2,0)</f>
        <v>41020</v>
      </c>
      <c r="E622" s="1111" t="s">
        <v>1982</v>
      </c>
      <c r="F622" s="1103">
        <v>1</v>
      </c>
      <c r="G622" s="30">
        <v>198</v>
      </c>
      <c r="H622" s="1061">
        <f>CEILING(G622,'Parametros Generales'!$C$8)</f>
        <v>200</v>
      </c>
      <c r="I622" s="1057" t="s">
        <v>411</v>
      </c>
      <c r="J622" s="1058">
        <v>200</v>
      </c>
      <c r="K622" s="1070" t="str">
        <f t="shared" si="44"/>
        <v>Ok</v>
      </c>
      <c r="L622" s="1077">
        <f t="shared" si="45"/>
        <v>0</v>
      </c>
      <c r="M622" s="1090">
        <f>+H622/'Parametros Generales'!$C$8</f>
        <v>8</v>
      </c>
      <c r="N622" s="1097"/>
      <c r="O622" s="1097"/>
      <c r="P622" s="1097"/>
      <c r="Q622" s="1097"/>
      <c r="R622" s="1097">
        <f>+(M622/'Parametros Generales'!$C$9)</f>
        <v>2</v>
      </c>
      <c r="S622" s="390"/>
      <c r="T622" s="390"/>
      <c r="U622" s="390"/>
      <c r="V622" s="389"/>
      <c r="W622" s="32">
        <f>+R622*'Componentes T.H.'!$Q$9*'Parametros Generales'!$C$6</f>
        <v>10037014.142000001</v>
      </c>
      <c r="X622" s="32">
        <f>(+VLOOKUP(C622,'Transporte y Viaticos'!$B$87:$L$120,2,0)*'Parametros Generales'!$C$7*R622)*(2/3)</f>
        <v>955108.06562686176</v>
      </c>
      <c r="Y622" s="417"/>
      <c r="Z622" s="417"/>
      <c r="AA622" s="417"/>
      <c r="AB622" s="417">
        <f>+M622*'Parametros Generales'!$C$6*'Parametros Generales'!$J$9</f>
        <v>3895272.7272727285</v>
      </c>
      <c r="AC622" s="417">
        <f>+H622*'Parametros Generales'!$J$10*'Parametros Generales'!$C$6*'Parametros Generales'!$C$11</f>
        <v>14738498.767401624</v>
      </c>
      <c r="AD622" s="417"/>
      <c r="AE622" s="417"/>
      <c r="AF622" s="417"/>
      <c r="AG622" s="417"/>
      <c r="AH622" s="417"/>
      <c r="AI622" s="417"/>
      <c r="AJ622" s="417"/>
      <c r="AK622" s="436"/>
      <c r="AL622" s="822"/>
    </row>
    <row r="623" spans="1:38" s="33" customFormat="1" hidden="1" outlineLevel="1">
      <c r="A623" s="1150"/>
      <c r="B623" s="821">
        <v>41</v>
      </c>
      <c r="C623" s="371" t="s">
        <v>407</v>
      </c>
      <c r="D623" s="31">
        <f>+VLOOKUP(E623,Codigos!$A$1:$B$1123,2,0)</f>
        <v>41132</v>
      </c>
      <c r="E623" s="1111" t="s">
        <v>1983</v>
      </c>
      <c r="F623" s="1103">
        <v>1</v>
      </c>
      <c r="G623" s="30">
        <v>198</v>
      </c>
      <c r="H623" s="1061">
        <f>CEILING(G623,'Parametros Generales'!$C$8)</f>
        <v>200</v>
      </c>
      <c r="I623" s="1057" t="s">
        <v>412</v>
      </c>
      <c r="J623" s="1058">
        <v>200</v>
      </c>
      <c r="K623" s="1070" t="str">
        <f t="shared" si="44"/>
        <v>Ok</v>
      </c>
      <c r="L623" s="1077">
        <f t="shared" si="45"/>
        <v>0</v>
      </c>
      <c r="M623" s="1090">
        <f>+H623/'Parametros Generales'!$C$8</f>
        <v>8</v>
      </c>
      <c r="N623" s="1097"/>
      <c r="O623" s="1097"/>
      <c r="P623" s="1097"/>
      <c r="Q623" s="1097"/>
      <c r="R623" s="1097">
        <f>+(M623/'Parametros Generales'!$C$9)</f>
        <v>2</v>
      </c>
      <c r="S623" s="390"/>
      <c r="T623" s="390"/>
      <c r="U623" s="390"/>
      <c r="V623" s="389"/>
      <c r="W623" s="32">
        <f>+R623*'Componentes T.H.'!$Q$9*'Parametros Generales'!$C$6</f>
        <v>10037014.142000001</v>
      </c>
      <c r="X623" s="32">
        <f>(+VLOOKUP(C623,'Transporte y Viaticos'!$B$87:$L$120,2,0)*'Parametros Generales'!$C$7*R623)*(2/3)</f>
        <v>955108.06562686176</v>
      </c>
      <c r="Y623" s="417"/>
      <c r="Z623" s="417"/>
      <c r="AA623" s="417"/>
      <c r="AB623" s="417">
        <f>+M623*'Parametros Generales'!$C$6*'Parametros Generales'!$J$9</f>
        <v>3895272.7272727285</v>
      </c>
      <c r="AC623" s="417">
        <f>+H623*'Parametros Generales'!$J$10*'Parametros Generales'!$C$6*'Parametros Generales'!$C$11</f>
        <v>14738498.767401624</v>
      </c>
      <c r="AD623" s="417"/>
      <c r="AE623" s="417"/>
      <c r="AF623" s="417"/>
      <c r="AG623" s="417"/>
      <c r="AH623" s="417"/>
      <c r="AI623" s="417"/>
      <c r="AJ623" s="417"/>
      <c r="AK623" s="436"/>
      <c r="AL623" s="822"/>
    </row>
    <row r="624" spans="1:38" s="33" customFormat="1" hidden="1" outlineLevel="1">
      <c r="A624" s="1150"/>
      <c r="B624" s="821">
        <v>41</v>
      </c>
      <c r="C624" s="371" t="s">
        <v>407</v>
      </c>
      <c r="D624" s="31">
        <f>+VLOOKUP(E624,Codigos!$A$1:$B$1123,2,0)</f>
        <v>41298</v>
      </c>
      <c r="E624" s="1111" t="s">
        <v>1984</v>
      </c>
      <c r="F624" s="1103">
        <v>1</v>
      </c>
      <c r="G624" s="30">
        <v>198</v>
      </c>
      <c r="H624" s="1061">
        <f>CEILING(G624,'Parametros Generales'!$C$8)</f>
        <v>200</v>
      </c>
      <c r="I624" s="1057" t="s">
        <v>413</v>
      </c>
      <c r="J624" s="1058">
        <v>200</v>
      </c>
      <c r="K624" s="1070" t="str">
        <f t="shared" si="44"/>
        <v>Ok</v>
      </c>
      <c r="L624" s="1077">
        <f t="shared" si="45"/>
        <v>0</v>
      </c>
      <c r="M624" s="1090">
        <f>+H624/'Parametros Generales'!$C$8</f>
        <v>8</v>
      </c>
      <c r="N624" s="1097"/>
      <c r="O624" s="1097"/>
      <c r="P624" s="1097"/>
      <c r="Q624" s="1097"/>
      <c r="R624" s="1097">
        <f>+(M624/'Parametros Generales'!$C$9)</f>
        <v>2</v>
      </c>
      <c r="S624" s="390"/>
      <c r="T624" s="390"/>
      <c r="U624" s="390"/>
      <c r="V624" s="389"/>
      <c r="W624" s="32">
        <f>+R624*'Componentes T.H.'!$Q$9*'Parametros Generales'!$C$6</f>
        <v>10037014.142000001</v>
      </c>
      <c r="X624" s="32">
        <f>(+VLOOKUP(C624,'Transporte y Viaticos'!$B$87:$L$120,2,0)*'Parametros Generales'!$C$7*R624)*(2/3)</f>
        <v>955108.06562686176</v>
      </c>
      <c r="Y624" s="417"/>
      <c r="Z624" s="417"/>
      <c r="AA624" s="417"/>
      <c r="AB624" s="417">
        <f>+M624*'Parametros Generales'!$C$6*'Parametros Generales'!$J$9</f>
        <v>3895272.7272727285</v>
      </c>
      <c r="AC624" s="417">
        <f>+H624*'Parametros Generales'!$J$10*'Parametros Generales'!$C$6*'Parametros Generales'!$C$11</f>
        <v>14738498.767401624</v>
      </c>
      <c r="AD624" s="417"/>
      <c r="AE624" s="417"/>
      <c r="AF624" s="417"/>
      <c r="AG624" s="417"/>
      <c r="AH624" s="417"/>
      <c r="AI624" s="417"/>
      <c r="AJ624" s="417"/>
      <c r="AK624" s="436"/>
      <c r="AL624" s="822"/>
    </row>
    <row r="625" spans="1:38" s="33" customFormat="1" hidden="1" outlineLevel="1">
      <c r="A625" s="1150"/>
      <c r="B625" s="821">
        <v>41</v>
      </c>
      <c r="C625" s="371" t="s">
        <v>407</v>
      </c>
      <c r="D625" s="31">
        <f>+VLOOKUP(E625,Codigos!$A$1:$B$1123,2,0)</f>
        <v>41306</v>
      </c>
      <c r="E625" s="1111" t="s">
        <v>1985</v>
      </c>
      <c r="F625" s="1103">
        <v>1</v>
      </c>
      <c r="G625" s="30">
        <v>198</v>
      </c>
      <c r="H625" s="1061">
        <f>CEILING(G625,'Parametros Generales'!$C$8)</f>
        <v>200</v>
      </c>
      <c r="I625" s="1057" t="s">
        <v>414</v>
      </c>
      <c r="J625" s="1058">
        <v>200</v>
      </c>
      <c r="K625" s="1070" t="str">
        <f t="shared" si="44"/>
        <v>Ok</v>
      </c>
      <c r="L625" s="1077">
        <f t="shared" si="45"/>
        <v>0</v>
      </c>
      <c r="M625" s="1090">
        <f>+H625/'Parametros Generales'!$C$8</f>
        <v>8</v>
      </c>
      <c r="N625" s="1097"/>
      <c r="O625" s="1097"/>
      <c r="P625" s="1097"/>
      <c r="Q625" s="1097"/>
      <c r="R625" s="1097">
        <f>+(M625/'Parametros Generales'!$C$9)</f>
        <v>2</v>
      </c>
      <c r="S625" s="390"/>
      <c r="T625" s="390"/>
      <c r="U625" s="390"/>
      <c r="V625" s="389"/>
      <c r="W625" s="32">
        <f>+R625*'Componentes T.H.'!$Q$9*'Parametros Generales'!$C$6</f>
        <v>10037014.142000001</v>
      </c>
      <c r="X625" s="32">
        <f>(+VLOOKUP(C625,'Transporte y Viaticos'!$B$87:$L$120,2,0)*'Parametros Generales'!$C$7*R625)*(2/3)</f>
        <v>955108.06562686176</v>
      </c>
      <c r="Y625" s="417"/>
      <c r="Z625" s="417"/>
      <c r="AA625" s="417"/>
      <c r="AB625" s="417">
        <f>+M625*'Parametros Generales'!$C$6*'Parametros Generales'!$J$9</f>
        <v>3895272.7272727285</v>
      </c>
      <c r="AC625" s="417">
        <f>+H625*'Parametros Generales'!$J$10*'Parametros Generales'!$C$6*'Parametros Generales'!$C$11</f>
        <v>14738498.767401624</v>
      </c>
      <c r="AD625" s="417"/>
      <c r="AE625" s="417"/>
      <c r="AF625" s="417"/>
      <c r="AG625" s="417"/>
      <c r="AH625" s="417"/>
      <c r="AI625" s="417"/>
      <c r="AJ625" s="417"/>
      <c r="AK625" s="436"/>
      <c r="AL625" s="822"/>
    </row>
    <row r="626" spans="1:38" s="33" customFormat="1" hidden="1" outlineLevel="1">
      <c r="A626" s="1150"/>
      <c r="B626" s="821">
        <v>41</v>
      </c>
      <c r="C626" s="371" t="s">
        <v>407</v>
      </c>
      <c r="D626" s="31">
        <f>+VLOOKUP(E626,Codigos!$A$1:$B$1123,2,0)</f>
        <v>41319</v>
      </c>
      <c r="E626" s="1111" t="s">
        <v>1986</v>
      </c>
      <c r="F626" s="1103">
        <v>1</v>
      </c>
      <c r="G626" s="30">
        <v>198</v>
      </c>
      <c r="H626" s="1061">
        <f>CEILING(G626,'Parametros Generales'!$C$8)</f>
        <v>200</v>
      </c>
      <c r="I626" s="1057" t="s">
        <v>415</v>
      </c>
      <c r="J626" s="1058">
        <v>200</v>
      </c>
      <c r="K626" s="1070" t="str">
        <f t="shared" si="44"/>
        <v>Ok</v>
      </c>
      <c r="L626" s="1077">
        <f t="shared" si="45"/>
        <v>0</v>
      </c>
      <c r="M626" s="1090">
        <f>+H626/'Parametros Generales'!$C$8</f>
        <v>8</v>
      </c>
      <c r="N626" s="1097"/>
      <c r="O626" s="1097"/>
      <c r="P626" s="1097"/>
      <c r="Q626" s="1097"/>
      <c r="R626" s="1097">
        <f>+(M626/'Parametros Generales'!$C$9)</f>
        <v>2</v>
      </c>
      <c r="S626" s="390"/>
      <c r="T626" s="390"/>
      <c r="U626" s="390"/>
      <c r="V626" s="389"/>
      <c r="W626" s="32">
        <f>+R626*'Componentes T.H.'!$Q$9*'Parametros Generales'!$C$6</f>
        <v>10037014.142000001</v>
      </c>
      <c r="X626" s="32">
        <f>(+VLOOKUP(C626,'Transporte y Viaticos'!$B$87:$L$120,2,0)*'Parametros Generales'!$C$7*R626)*(2/3)</f>
        <v>955108.06562686176</v>
      </c>
      <c r="Y626" s="417"/>
      <c r="Z626" s="417"/>
      <c r="AA626" s="417"/>
      <c r="AB626" s="417">
        <f>+M626*'Parametros Generales'!$C$6*'Parametros Generales'!$J$9</f>
        <v>3895272.7272727285</v>
      </c>
      <c r="AC626" s="417">
        <f>+H626*'Parametros Generales'!$J$10*'Parametros Generales'!$C$6*'Parametros Generales'!$C$11</f>
        <v>14738498.767401624</v>
      </c>
      <c r="AD626" s="417"/>
      <c r="AE626" s="417"/>
      <c r="AF626" s="417"/>
      <c r="AG626" s="417"/>
      <c r="AH626" s="417"/>
      <c r="AI626" s="417"/>
      <c r="AJ626" s="417"/>
      <c r="AK626" s="436"/>
      <c r="AL626" s="822"/>
    </row>
    <row r="627" spans="1:38" s="33" customFormat="1" hidden="1" outlineLevel="1">
      <c r="A627" s="1150"/>
      <c r="B627" s="821">
        <v>41</v>
      </c>
      <c r="C627" s="371" t="s">
        <v>407</v>
      </c>
      <c r="D627" s="31">
        <f>+VLOOKUP(E627,Codigos!$A$1:$B$1123,2,0)</f>
        <v>41357</v>
      </c>
      <c r="E627" s="1111" t="s">
        <v>1987</v>
      </c>
      <c r="F627" s="1103">
        <v>1</v>
      </c>
      <c r="G627" s="30">
        <v>198</v>
      </c>
      <c r="H627" s="1061">
        <f>CEILING(G627,'Parametros Generales'!$C$8)</f>
        <v>200</v>
      </c>
      <c r="I627" s="1057" t="s">
        <v>416</v>
      </c>
      <c r="J627" s="1058">
        <v>200</v>
      </c>
      <c r="K627" s="1070" t="str">
        <f t="shared" si="44"/>
        <v>Ok</v>
      </c>
      <c r="L627" s="1077">
        <f t="shared" si="45"/>
        <v>0</v>
      </c>
      <c r="M627" s="1090">
        <f>+H627/'Parametros Generales'!$C$8</f>
        <v>8</v>
      </c>
      <c r="N627" s="1097"/>
      <c r="O627" s="1097"/>
      <c r="P627" s="1097"/>
      <c r="Q627" s="1097"/>
      <c r="R627" s="1097">
        <f>+(M627/'Parametros Generales'!$C$9)</f>
        <v>2</v>
      </c>
      <c r="S627" s="390"/>
      <c r="T627" s="390"/>
      <c r="U627" s="390"/>
      <c r="V627" s="389"/>
      <c r="W627" s="32">
        <f>+R627*'Componentes T.H.'!$Q$9*'Parametros Generales'!$C$6</f>
        <v>10037014.142000001</v>
      </c>
      <c r="X627" s="32">
        <f>(+VLOOKUP(C627,'Transporte y Viaticos'!$B$87:$L$120,2,0)*'Parametros Generales'!$C$7*R627)*(2/3)</f>
        <v>955108.06562686176</v>
      </c>
      <c r="Y627" s="417"/>
      <c r="Z627" s="417"/>
      <c r="AA627" s="417"/>
      <c r="AB627" s="417">
        <f>+M627*'Parametros Generales'!$C$6*'Parametros Generales'!$J$9</f>
        <v>3895272.7272727285</v>
      </c>
      <c r="AC627" s="417">
        <f>+H627*'Parametros Generales'!$J$10*'Parametros Generales'!$C$6*'Parametros Generales'!$C$11</f>
        <v>14738498.767401624</v>
      </c>
      <c r="AD627" s="417"/>
      <c r="AE627" s="417"/>
      <c r="AF627" s="417"/>
      <c r="AG627" s="417"/>
      <c r="AH627" s="417"/>
      <c r="AI627" s="417"/>
      <c r="AJ627" s="417"/>
      <c r="AK627" s="436"/>
      <c r="AL627" s="822"/>
    </row>
    <row r="628" spans="1:38" s="33" customFormat="1" hidden="1" outlineLevel="1">
      <c r="A628" s="1150"/>
      <c r="B628" s="821">
        <v>41</v>
      </c>
      <c r="C628" s="371" t="s">
        <v>407</v>
      </c>
      <c r="D628" s="31">
        <f>+VLOOKUP(E628,Codigos!$A$1:$B$1123,2,0)</f>
        <v>41359</v>
      </c>
      <c r="E628" s="1111" t="s">
        <v>1988</v>
      </c>
      <c r="F628" s="1103">
        <v>1</v>
      </c>
      <c r="G628" s="30">
        <v>198</v>
      </c>
      <c r="H628" s="1061">
        <f>CEILING(G628,'Parametros Generales'!$C$8)</f>
        <v>200</v>
      </c>
      <c r="I628" s="1057" t="s">
        <v>417</v>
      </c>
      <c r="J628" s="1058">
        <v>200</v>
      </c>
      <c r="K628" s="1070" t="str">
        <f t="shared" si="44"/>
        <v>Ok</v>
      </c>
      <c r="L628" s="1077">
        <f t="shared" si="45"/>
        <v>0</v>
      </c>
      <c r="M628" s="1090">
        <f>+H628/'Parametros Generales'!$C$8</f>
        <v>8</v>
      </c>
      <c r="N628" s="1097"/>
      <c r="O628" s="1097"/>
      <c r="P628" s="1097"/>
      <c r="Q628" s="1097"/>
      <c r="R628" s="1097">
        <f>+(M628/'Parametros Generales'!$C$9)</f>
        <v>2</v>
      </c>
      <c r="S628" s="390"/>
      <c r="T628" s="390"/>
      <c r="U628" s="390"/>
      <c r="V628" s="389"/>
      <c r="W628" s="32">
        <f>+R628*'Componentes T.H.'!$Q$9*'Parametros Generales'!$C$6</f>
        <v>10037014.142000001</v>
      </c>
      <c r="X628" s="32">
        <f>(+VLOOKUP(C628,'Transporte y Viaticos'!$B$87:$L$120,2,0)*'Parametros Generales'!$C$7*R628)*(2/3)</f>
        <v>955108.06562686176</v>
      </c>
      <c r="Y628" s="417"/>
      <c r="Z628" s="417"/>
      <c r="AA628" s="417"/>
      <c r="AB628" s="417">
        <f>+M628*'Parametros Generales'!$C$6*'Parametros Generales'!$J$9</f>
        <v>3895272.7272727285</v>
      </c>
      <c r="AC628" s="417">
        <f>+H628*'Parametros Generales'!$J$10*'Parametros Generales'!$C$6*'Parametros Generales'!$C$11</f>
        <v>14738498.767401624</v>
      </c>
      <c r="AD628" s="417"/>
      <c r="AE628" s="417"/>
      <c r="AF628" s="417"/>
      <c r="AG628" s="417"/>
      <c r="AH628" s="417"/>
      <c r="AI628" s="417"/>
      <c r="AJ628" s="417"/>
      <c r="AK628" s="436"/>
      <c r="AL628" s="822"/>
    </row>
    <row r="629" spans="1:38" s="33" customFormat="1" hidden="1" outlineLevel="1">
      <c r="A629" s="1150"/>
      <c r="B629" s="821">
        <v>41</v>
      </c>
      <c r="C629" s="371" t="s">
        <v>407</v>
      </c>
      <c r="D629" s="31">
        <f>+VLOOKUP(E629,Codigos!$A$1:$B$1123,2,0)</f>
        <v>41548</v>
      </c>
      <c r="E629" s="1111" t="s">
        <v>1989</v>
      </c>
      <c r="F629" s="1103">
        <v>1</v>
      </c>
      <c r="G629" s="30">
        <v>100</v>
      </c>
      <c r="H629" s="1061">
        <f>CEILING(G629,'Parametros Generales'!$C$8)</f>
        <v>100</v>
      </c>
      <c r="I629" s="1057" t="s">
        <v>1024</v>
      </c>
      <c r="J629" s="1058">
        <v>100</v>
      </c>
      <c r="K629" s="1070" t="str">
        <f t="shared" si="44"/>
        <v>Ok</v>
      </c>
      <c r="L629" s="1077">
        <f t="shared" si="45"/>
        <v>0</v>
      </c>
      <c r="M629" s="1090">
        <f>+H629/'Parametros Generales'!$C$8</f>
        <v>4</v>
      </c>
      <c r="N629" s="1097"/>
      <c r="O629" s="1097"/>
      <c r="P629" s="1097"/>
      <c r="Q629" s="1097"/>
      <c r="R629" s="1097">
        <f>+(M629/'Parametros Generales'!$C$9)</f>
        <v>1</v>
      </c>
      <c r="S629" s="390"/>
      <c r="T629" s="390"/>
      <c r="U629" s="390"/>
      <c r="V629" s="389"/>
      <c r="W629" s="32">
        <f>+R629*'Componentes T.H.'!$Q$9*'Parametros Generales'!$C$6</f>
        <v>5018507.0710000005</v>
      </c>
      <c r="X629" s="32">
        <f>(+VLOOKUP(C629,'Transporte y Viaticos'!$B$87:$L$120,2,0)*'Parametros Generales'!$C$7*R629)*(2/3)</f>
        <v>477554.03281343088</v>
      </c>
      <c r="Y629" s="417"/>
      <c r="Z629" s="417"/>
      <c r="AA629" s="417"/>
      <c r="AB629" s="417">
        <f>+M629*'Parametros Generales'!$C$6*'Parametros Generales'!$J$9</f>
        <v>1947636.3636363642</v>
      </c>
      <c r="AC629" s="417">
        <f>+H629*'Parametros Generales'!$J$10*'Parametros Generales'!$C$6*'Parametros Generales'!$C$11</f>
        <v>7369249.3837008122</v>
      </c>
      <c r="AD629" s="417"/>
      <c r="AE629" s="417"/>
      <c r="AF629" s="417"/>
      <c r="AG629" s="417"/>
      <c r="AH629" s="417"/>
      <c r="AI629" s="417"/>
      <c r="AJ629" s="417"/>
      <c r="AK629" s="436"/>
      <c r="AL629" s="822"/>
    </row>
    <row r="630" spans="1:38" s="33" customFormat="1" hidden="1" outlineLevel="1">
      <c r="A630" s="1150"/>
      <c r="B630" s="821">
        <v>41</v>
      </c>
      <c r="C630" s="371" t="s">
        <v>407</v>
      </c>
      <c r="D630" s="31">
        <f>+VLOOKUP(E630,Codigos!$A$1:$B$1123,2,0)</f>
        <v>41396</v>
      </c>
      <c r="E630" s="1111" t="s">
        <v>1990</v>
      </c>
      <c r="F630" s="1103">
        <v>1</v>
      </c>
      <c r="G630" s="30">
        <v>198</v>
      </c>
      <c r="H630" s="1061">
        <f>CEILING(G630,'Parametros Generales'!$C$8)</f>
        <v>200</v>
      </c>
      <c r="I630" s="1057" t="s">
        <v>418</v>
      </c>
      <c r="J630" s="1058">
        <v>200</v>
      </c>
      <c r="K630" s="1070" t="str">
        <f t="shared" si="44"/>
        <v>Ok</v>
      </c>
      <c r="L630" s="1077">
        <f t="shared" si="45"/>
        <v>0</v>
      </c>
      <c r="M630" s="1090">
        <f>+H630/'Parametros Generales'!$C$8</f>
        <v>8</v>
      </c>
      <c r="N630" s="1097"/>
      <c r="O630" s="1097"/>
      <c r="P630" s="1097"/>
      <c r="Q630" s="1097"/>
      <c r="R630" s="1097">
        <f>+(M630/'Parametros Generales'!$C$9)</f>
        <v>2</v>
      </c>
      <c r="S630" s="390"/>
      <c r="T630" s="390"/>
      <c r="U630" s="390"/>
      <c r="V630" s="389"/>
      <c r="W630" s="32">
        <f>+R630*'Componentes T.H.'!$Q$9*'Parametros Generales'!$C$6</f>
        <v>10037014.142000001</v>
      </c>
      <c r="X630" s="32">
        <f>(+VLOOKUP(C630,'Transporte y Viaticos'!$B$87:$L$120,2,0)*'Parametros Generales'!$C$7*R630)*(2/3)</f>
        <v>955108.06562686176</v>
      </c>
      <c r="Y630" s="417"/>
      <c r="Z630" s="417"/>
      <c r="AA630" s="417"/>
      <c r="AB630" s="417">
        <f>+M630*'Parametros Generales'!$C$6*'Parametros Generales'!$J$9</f>
        <v>3895272.7272727285</v>
      </c>
      <c r="AC630" s="417">
        <f>+H630*'Parametros Generales'!$J$10*'Parametros Generales'!$C$6*'Parametros Generales'!$C$11</f>
        <v>14738498.767401624</v>
      </c>
      <c r="AD630" s="417"/>
      <c r="AE630" s="417"/>
      <c r="AF630" s="417"/>
      <c r="AG630" s="417"/>
      <c r="AH630" s="417"/>
      <c r="AI630" s="417"/>
      <c r="AJ630" s="417"/>
      <c r="AK630" s="436"/>
      <c r="AL630" s="822"/>
    </row>
    <row r="631" spans="1:38" s="33" customFormat="1" hidden="1" outlineLevel="1">
      <c r="A631" s="1150"/>
      <c r="B631" s="821">
        <v>41</v>
      </c>
      <c r="C631" s="371" t="s">
        <v>407</v>
      </c>
      <c r="D631" s="31">
        <f>+VLOOKUP(E631,Codigos!$A$1:$B$1123,2,0)</f>
        <v>41483</v>
      </c>
      <c r="E631" s="1111" t="s">
        <v>1991</v>
      </c>
      <c r="F631" s="1103">
        <v>1</v>
      </c>
      <c r="G631" s="30">
        <v>198</v>
      </c>
      <c r="H631" s="1061">
        <f>CEILING((G631-50),'Parametros Generales'!$C$8)</f>
        <v>150</v>
      </c>
      <c r="I631" s="1057" t="s">
        <v>419</v>
      </c>
      <c r="J631" s="1058">
        <v>150</v>
      </c>
      <c r="K631" s="1070" t="str">
        <f t="shared" si="44"/>
        <v>Ok</v>
      </c>
      <c r="L631" s="1077">
        <f t="shared" si="45"/>
        <v>0</v>
      </c>
      <c r="M631" s="1090">
        <f>+H631/'Parametros Generales'!$C$8</f>
        <v>6</v>
      </c>
      <c r="N631" s="1097"/>
      <c r="O631" s="1097"/>
      <c r="P631" s="1097"/>
      <c r="Q631" s="1097"/>
      <c r="R631" s="1097">
        <f>+(M631/'Parametros Generales'!$C$9)</f>
        <v>1.5</v>
      </c>
      <c r="S631" s="390"/>
      <c r="T631" s="390"/>
      <c r="U631" s="390"/>
      <c r="V631" s="389"/>
      <c r="W631" s="32">
        <f>+R631*'Componentes T.H.'!$Q$9*'Parametros Generales'!$C$6</f>
        <v>7527760.6064999998</v>
      </c>
      <c r="X631" s="32">
        <f>(+VLOOKUP(C631,'Transporte y Viaticos'!$B$87:$L$120,2,0)*'Parametros Generales'!$C$7*R631)*(2/3)</f>
        <v>716331.04922014626</v>
      </c>
      <c r="Y631" s="417"/>
      <c r="Z631" s="417"/>
      <c r="AA631" s="417"/>
      <c r="AB631" s="417">
        <f>+M631*'Parametros Generales'!$C$6*'Parametros Generales'!$J$9</f>
        <v>2921454.5454545463</v>
      </c>
      <c r="AC631" s="417">
        <f>+H631*'Parametros Generales'!$J$10*'Parametros Generales'!$C$6*'Parametros Generales'!$C$11</f>
        <v>11053874.075551221</v>
      </c>
      <c r="AD631" s="417"/>
      <c r="AE631" s="417"/>
      <c r="AF631" s="417"/>
      <c r="AG631" s="417"/>
      <c r="AH631" s="417"/>
      <c r="AI631" s="417"/>
      <c r="AJ631" s="417"/>
      <c r="AK631" s="436"/>
      <c r="AL631" s="822"/>
    </row>
    <row r="632" spans="1:38" s="33" customFormat="1" hidden="1" outlineLevel="1">
      <c r="A632" s="1150"/>
      <c r="B632" s="821">
        <v>41</v>
      </c>
      <c r="C632" s="371" t="s">
        <v>407</v>
      </c>
      <c r="D632" s="31">
        <f>+VLOOKUP(E632,Codigos!$A$1:$B$1123,2,0)</f>
        <v>41524</v>
      </c>
      <c r="E632" s="1111" t="s">
        <v>1992</v>
      </c>
      <c r="F632" s="1103">
        <v>1</v>
      </c>
      <c r="G632" s="30">
        <v>198</v>
      </c>
      <c r="H632" s="1061">
        <f>CEILING(G632,'Parametros Generales'!$C$8)</f>
        <v>200</v>
      </c>
      <c r="I632" s="1057" t="s">
        <v>420</v>
      </c>
      <c r="J632" s="1058">
        <v>200</v>
      </c>
      <c r="K632" s="1070" t="str">
        <f t="shared" si="44"/>
        <v>Ok</v>
      </c>
      <c r="L632" s="1077">
        <f t="shared" si="45"/>
        <v>0</v>
      </c>
      <c r="M632" s="1090">
        <f>+H632/'Parametros Generales'!$C$8</f>
        <v>8</v>
      </c>
      <c r="N632" s="1097"/>
      <c r="O632" s="1097"/>
      <c r="P632" s="1097"/>
      <c r="Q632" s="1097"/>
      <c r="R632" s="1097">
        <f>+(M632/'Parametros Generales'!$C$9)</f>
        <v>2</v>
      </c>
      <c r="S632" s="390"/>
      <c r="T632" s="390"/>
      <c r="U632" s="390"/>
      <c r="V632" s="389"/>
      <c r="W632" s="32">
        <f>+R632*'Componentes T.H.'!$Q$9*'Parametros Generales'!$C$6</f>
        <v>10037014.142000001</v>
      </c>
      <c r="X632" s="32">
        <f>(+VLOOKUP(C632,'Transporte y Viaticos'!$B$87:$L$120,2,0)*'Parametros Generales'!$C$7*R632)*(2/3)</f>
        <v>955108.06562686176</v>
      </c>
      <c r="Y632" s="417"/>
      <c r="Z632" s="417"/>
      <c r="AA632" s="417"/>
      <c r="AB632" s="417">
        <f>+M632*'Parametros Generales'!$C$6*'Parametros Generales'!$J$9</f>
        <v>3895272.7272727285</v>
      </c>
      <c r="AC632" s="417">
        <f>+H632*'Parametros Generales'!$J$10*'Parametros Generales'!$C$6*'Parametros Generales'!$C$11</f>
        <v>14738498.767401624</v>
      </c>
      <c r="AD632" s="417"/>
      <c r="AE632" s="417"/>
      <c r="AF632" s="417"/>
      <c r="AG632" s="417"/>
      <c r="AH632" s="417"/>
      <c r="AI632" s="417"/>
      <c r="AJ632" s="417"/>
      <c r="AK632" s="436"/>
      <c r="AL632" s="822"/>
    </row>
    <row r="633" spans="1:38" s="33" customFormat="1" hidden="1" outlineLevel="1">
      <c r="A633" s="1150"/>
      <c r="B633" s="821">
        <v>41</v>
      </c>
      <c r="C633" s="371" t="s">
        <v>407</v>
      </c>
      <c r="D633" s="31">
        <f>+VLOOKUP(E633,Codigos!$A$1:$B$1123,2,0)</f>
        <v>41530</v>
      </c>
      <c r="E633" s="1111" t="s">
        <v>1993</v>
      </c>
      <c r="F633" s="1103">
        <v>1</v>
      </c>
      <c r="G633" s="30">
        <v>198</v>
      </c>
      <c r="H633" s="1061">
        <f>CEILING(G633,'Parametros Generales'!$C$8)</f>
        <v>200</v>
      </c>
      <c r="I633" s="1057" t="s">
        <v>421</v>
      </c>
      <c r="J633" s="1058">
        <v>200</v>
      </c>
      <c r="K633" s="1070" t="str">
        <f t="shared" si="44"/>
        <v>Ok</v>
      </c>
      <c r="L633" s="1077">
        <f t="shared" si="45"/>
        <v>0</v>
      </c>
      <c r="M633" s="1090">
        <f>+H633/'Parametros Generales'!$C$8</f>
        <v>8</v>
      </c>
      <c r="N633" s="1097"/>
      <c r="O633" s="1097"/>
      <c r="P633" s="1097"/>
      <c r="Q633" s="1097"/>
      <c r="R633" s="1097">
        <f>+(M633/'Parametros Generales'!$C$9)</f>
        <v>2</v>
      </c>
      <c r="S633" s="390"/>
      <c r="T633" s="390"/>
      <c r="U633" s="390"/>
      <c r="V633" s="389"/>
      <c r="W633" s="32">
        <f>+R633*'Componentes T.H.'!$Q$9*'Parametros Generales'!$C$6</f>
        <v>10037014.142000001</v>
      </c>
      <c r="X633" s="32">
        <f>(+VLOOKUP(C633,'Transporte y Viaticos'!$B$87:$L$120,2,0)*'Parametros Generales'!$C$7*R633)*(2/3)</f>
        <v>955108.06562686176</v>
      </c>
      <c r="Y633" s="417"/>
      <c r="Z633" s="417"/>
      <c r="AA633" s="417"/>
      <c r="AB633" s="417">
        <f>+M633*'Parametros Generales'!$C$6*'Parametros Generales'!$J$9</f>
        <v>3895272.7272727285</v>
      </c>
      <c r="AC633" s="417">
        <f>+H633*'Parametros Generales'!$J$10*'Parametros Generales'!$C$6*'Parametros Generales'!$C$11</f>
        <v>14738498.767401624</v>
      </c>
      <c r="AD633" s="417"/>
      <c r="AE633" s="417"/>
      <c r="AF633" s="417"/>
      <c r="AG633" s="417"/>
      <c r="AH633" s="417"/>
      <c r="AI633" s="417"/>
      <c r="AJ633" s="417"/>
      <c r="AK633" s="436"/>
      <c r="AL633" s="822"/>
    </row>
    <row r="634" spans="1:38" s="33" customFormat="1" hidden="1" outlineLevel="1">
      <c r="A634" s="1150"/>
      <c r="B634" s="821">
        <v>41</v>
      </c>
      <c r="C634" s="371" t="s">
        <v>407</v>
      </c>
      <c r="D634" s="31">
        <f>+VLOOKUP(E634,Codigos!$A$1:$B$1123,2,0)</f>
        <v>41551</v>
      </c>
      <c r="E634" s="1111" t="s">
        <v>1994</v>
      </c>
      <c r="F634" s="1103">
        <v>1</v>
      </c>
      <c r="G634" s="30">
        <v>198</v>
      </c>
      <c r="H634" s="1061">
        <f>CEILING(G634,'Parametros Generales'!$C$8)</f>
        <v>200</v>
      </c>
      <c r="I634" s="1057" t="s">
        <v>422</v>
      </c>
      <c r="J634" s="1058">
        <v>200</v>
      </c>
      <c r="K634" s="1070" t="str">
        <f t="shared" si="44"/>
        <v>Ok</v>
      </c>
      <c r="L634" s="1077">
        <f t="shared" si="45"/>
        <v>0</v>
      </c>
      <c r="M634" s="1090">
        <f>+H634/'Parametros Generales'!$C$8</f>
        <v>8</v>
      </c>
      <c r="N634" s="1097"/>
      <c r="O634" s="1097"/>
      <c r="P634" s="1097"/>
      <c r="Q634" s="1097"/>
      <c r="R634" s="1097">
        <f>+(M634/'Parametros Generales'!$C$9)</f>
        <v>2</v>
      </c>
      <c r="S634" s="390"/>
      <c r="T634" s="390"/>
      <c r="U634" s="390"/>
      <c r="V634" s="389"/>
      <c r="W634" s="32">
        <f>+R634*'Componentes T.H.'!$Q$9*'Parametros Generales'!$C$6</f>
        <v>10037014.142000001</v>
      </c>
      <c r="X634" s="32">
        <f>(+VLOOKUP(C634,'Transporte y Viaticos'!$B$87:$L$120,2,0)*'Parametros Generales'!$C$7*R634)*(2/3)</f>
        <v>955108.06562686176</v>
      </c>
      <c r="Y634" s="417"/>
      <c r="Z634" s="417"/>
      <c r="AA634" s="417"/>
      <c r="AB634" s="417">
        <f>+M634*'Parametros Generales'!$C$6*'Parametros Generales'!$J$9</f>
        <v>3895272.7272727285</v>
      </c>
      <c r="AC634" s="417">
        <f>+H634*'Parametros Generales'!$J$10*'Parametros Generales'!$C$6*'Parametros Generales'!$C$11</f>
        <v>14738498.767401624</v>
      </c>
      <c r="AD634" s="417"/>
      <c r="AE634" s="417"/>
      <c r="AF634" s="417"/>
      <c r="AG634" s="417"/>
      <c r="AH634" s="417"/>
      <c r="AI634" s="417"/>
      <c r="AJ634" s="417"/>
      <c r="AK634" s="436"/>
      <c r="AL634" s="822"/>
    </row>
    <row r="635" spans="1:38" s="33" customFormat="1" hidden="1" outlineLevel="1">
      <c r="A635" s="1150"/>
      <c r="B635" s="821">
        <v>41</v>
      </c>
      <c r="C635" s="371" t="s">
        <v>407</v>
      </c>
      <c r="D635" s="31">
        <f>+VLOOKUP(E635,Codigos!$A$1:$B$1123,2,0)</f>
        <v>41615</v>
      </c>
      <c r="E635" s="1111" t="s">
        <v>1995</v>
      </c>
      <c r="F635" s="1103">
        <v>1</v>
      </c>
      <c r="G635" s="30">
        <v>198</v>
      </c>
      <c r="H635" s="1061">
        <f>CEILING(G635,'Parametros Generales'!$C$8)</f>
        <v>200</v>
      </c>
      <c r="I635" s="1057" t="s">
        <v>423</v>
      </c>
      <c r="J635" s="1058">
        <v>200</v>
      </c>
      <c r="K635" s="1070" t="str">
        <f t="shared" si="44"/>
        <v>Ok</v>
      </c>
      <c r="L635" s="1077">
        <f t="shared" si="45"/>
        <v>0</v>
      </c>
      <c r="M635" s="1090">
        <f>+H635/'Parametros Generales'!$C$8</f>
        <v>8</v>
      </c>
      <c r="N635" s="1097"/>
      <c r="O635" s="1097"/>
      <c r="P635" s="1097"/>
      <c r="Q635" s="1097"/>
      <c r="R635" s="1097">
        <f>+(M635/'Parametros Generales'!$C$9)</f>
        <v>2</v>
      </c>
      <c r="S635" s="390"/>
      <c r="T635" s="390"/>
      <c r="U635" s="390"/>
      <c r="V635" s="389"/>
      <c r="W635" s="32">
        <f>+R635*'Componentes T.H.'!$Q$9*'Parametros Generales'!$C$6</f>
        <v>10037014.142000001</v>
      </c>
      <c r="X635" s="32">
        <f>(+VLOOKUP(C635,'Transporte y Viaticos'!$B$87:$L$120,2,0)*'Parametros Generales'!$C$7*R635)*(2/3)</f>
        <v>955108.06562686176</v>
      </c>
      <c r="Y635" s="417"/>
      <c r="Z635" s="417"/>
      <c r="AA635" s="417"/>
      <c r="AB635" s="417">
        <f>+M635*'Parametros Generales'!$C$6*'Parametros Generales'!$J$9</f>
        <v>3895272.7272727285</v>
      </c>
      <c r="AC635" s="417">
        <f>+H635*'Parametros Generales'!$J$10*'Parametros Generales'!$C$6*'Parametros Generales'!$C$11</f>
        <v>14738498.767401624</v>
      </c>
      <c r="AD635" s="417"/>
      <c r="AE635" s="417"/>
      <c r="AF635" s="417"/>
      <c r="AG635" s="417"/>
      <c r="AH635" s="417"/>
      <c r="AI635" s="417"/>
      <c r="AJ635" s="417"/>
      <c r="AK635" s="436"/>
      <c r="AL635" s="822"/>
    </row>
    <row r="636" spans="1:38" s="33" customFormat="1" hidden="1" outlineLevel="1">
      <c r="A636" s="1150"/>
      <c r="B636" s="821">
        <v>41</v>
      </c>
      <c r="C636" s="371" t="s">
        <v>407</v>
      </c>
      <c r="D636" s="31">
        <f>+VLOOKUP(E636,Codigos!$A$1:$B$1123,2,0)</f>
        <v>41668</v>
      </c>
      <c r="E636" s="1111" t="s">
        <v>1996</v>
      </c>
      <c r="F636" s="1103">
        <v>1</v>
      </c>
      <c r="G636" s="30">
        <v>198</v>
      </c>
      <c r="H636" s="1061">
        <f>CEILING(G636,'Parametros Generales'!$C$8)</f>
        <v>200</v>
      </c>
      <c r="I636" s="1057" t="s">
        <v>424</v>
      </c>
      <c r="J636" s="1058">
        <v>200</v>
      </c>
      <c r="K636" s="1070" t="str">
        <f t="shared" si="44"/>
        <v>Ok</v>
      </c>
      <c r="L636" s="1077">
        <f t="shared" si="45"/>
        <v>0</v>
      </c>
      <c r="M636" s="1090">
        <f>+H636/'Parametros Generales'!$C$8</f>
        <v>8</v>
      </c>
      <c r="N636" s="1097"/>
      <c r="O636" s="1097"/>
      <c r="P636" s="1097"/>
      <c r="Q636" s="1097"/>
      <c r="R636" s="1097">
        <f>+(M636/'Parametros Generales'!$C$9)</f>
        <v>2</v>
      </c>
      <c r="S636" s="390"/>
      <c r="T636" s="390"/>
      <c r="U636" s="390"/>
      <c r="V636" s="389"/>
      <c r="W636" s="32">
        <f>+R636*'Componentes T.H.'!$Q$9*'Parametros Generales'!$C$6</f>
        <v>10037014.142000001</v>
      </c>
      <c r="X636" s="32">
        <f>(+VLOOKUP(C636,'Transporte y Viaticos'!$B$87:$L$120,2,0)*'Parametros Generales'!$C$7*R636)*(2/3)</f>
        <v>955108.06562686176</v>
      </c>
      <c r="Y636" s="417"/>
      <c r="Z636" s="417"/>
      <c r="AA636" s="417"/>
      <c r="AB636" s="417">
        <f>+M636*'Parametros Generales'!$C$6*'Parametros Generales'!$J$9</f>
        <v>3895272.7272727285</v>
      </c>
      <c r="AC636" s="417">
        <f>+H636*'Parametros Generales'!$J$10*'Parametros Generales'!$C$6*'Parametros Generales'!$C$11</f>
        <v>14738498.767401624</v>
      </c>
      <c r="AD636" s="417"/>
      <c r="AE636" s="417"/>
      <c r="AF636" s="417"/>
      <c r="AG636" s="417"/>
      <c r="AH636" s="417"/>
      <c r="AI636" s="417"/>
      <c r="AJ636" s="417"/>
      <c r="AK636" s="436"/>
      <c r="AL636" s="822"/>
    </row>
    <row r="637" spans="1:38" s="33" customFormat="1" hidden="1" outlineLevel="1">
      <c r="A637" s="1150"/>
      <c r="B637" s="821">
        <v>41</v>
      </c>
      <c r="C637" s="371" t="s">
        <v>407</v>
      </c>
      <c r="D637" s="31">
        <f>+VLOOKUP(E637,Codigos!$A$1:$B$1123,2,0)</f>
        <v>41770</v>
      </c>
      <c r="E637" s="1111" t="s">
        <v>1997</v>
      </c>
      <c r="F637" s="1103">
        <v>1</v>
      </c>
      <c r="G637" s="30">
        <v>198</v>
      </c>
      <c r="H637" s="1061">
        <f>CEILING(G637,'Parametros Generales'!$C$8)</f>
        <v>200</v>
      </c>
      <c r="I637" s="1057" t="s">
        <v>425</v>
      </c>
      <c r="J637" s="1058">
        <v>200</v>
      </c>
      <c r="K637" s="1070" t="str">
        <f t="shared" si="44"/>
        <v>Ok</v>
      </c>
      <c r="L637" s="1077">
        <f t="shared" si="45"/>
        <v>0</v>
      </c>
      <c r="M637" s="1090">
        <f>+H637/'Parametros Generales'!$C$8</f>
        <v>8</v>
      </c>
      <c r="N637" s="1097"/>
      <c r="O637" s="1097"/>
      <c r="P637" s="1097"/>
      <c r="Q637" s="1097"/>
      <c r="R637" s="1097">
        <f>+(M637/'Parametros Generales'!$C$9)</f>
        <v>2</v>
      </c>
      <c r="S637" s="390"/>
      <c r="T637" s="390"/>
      <c r="U637" s="390"/>
      <c r="V637" s="389"/>
      <c r="W637" s="32">
        <f>+R637*'Componentes T.H.'!$Q$9*'Parametros Generales'!$C$6</f>
        <v>10037014.142000001</v>
      </c>
      <c r="X637" s="32">
        <f>(+VLOOKUP(C637,'Transporte y Viaticos'!$B$87:$L$120,2,0)*'Parametros Generales'!$C$7*R637)*(2/3)</f>
        <v>955108.06562686176</v>
      </c>
      <c r="Y637" s="417"/>
      <c r="Z637" s="417"/>
      <c r="AA637" s="417"/>
      <c r="AB637" s="417">
        <f>+M637*'Parametros Generales'!$C$6*'Parametros Generales'!$J$9</f>
        <v>3895272.7272727285</v>
      </c>
      <c r="AC637" s="417">
        <f>+H637*'Parametros Generales'!$J$10*'Parametros Generales'!$C$6*'Parametros Generales'!$C$11</f>
        <v>14738498.767401624</v>
      </c>
      <c r="AD637" s="417"/>
      <c r="AE637" s="417"/>
      <c r="AF637" s="417"/>
      <c r="AG637" s="417"/>
      <c r="AH637" s="417"/>
      <c r="AI637" s="417"/>
      <c r="AJ637" s="417"/>
      <c r="AK637" s="436"/>
      <c r="AL637" s="822"/>
    </row>
    <row r="638" spans="1:38" s="33" customFormat="1" hidden="1" outlineLevel="1">
      <c r="A638" s="1150"/>
      <c r="B638" s="823">
        <v>41</v>
      </c>
      <c r="C638" s="373" t="s">
        <v>407</v>
      </c>
      <c r="D638" s="374">
        <f>+VLOOKUP(E638,Codigos!$A$1:$B$1123,2,0)</f>
        <v>41791</v>
      </c>
      <c r="E638" s="1113" t="s">
        <v>1998</v>
      </c>
      <c r="F638" s="1104">
        <v>1</v>
      </c>
      <c r="G638" s="375">
        <v>198</v>
      </c>
      <c r="H638" s="1062">
        <f>CEILING(G638,'Parametros Generales'!$C$8)</f>
        <v>200</v>
      </c>
      <c r="I638" s="1057" t="s">
        <v>426</v>
      </c>
      <c r="J638" s="1058">
        <v>200</v>
      </c>
      <c r="K638" s="1070" t="str">
        <f t="shared" si="44"/>
        <v>Ok</v>
      </c>
      <c r="L638" s="1077">
        <f t="shared" si="45"/>
        <v>0</v>
      </c>
      <c r="M638" s="1091">
        <f>+H638/'Parametros Generales'!$C$8</f>
        <v>8</v>
      </c>
      <c r="N638" s="1098"/>
      <c r="O638" s="1098"/>
      <c r="P638" s="1098"/>
      <c r="Q638" s="1098"/>
      <c r="R638" s="1098">
        <f>+(M638/'Parametros Generales'!$C$9)</f>
        <v>2</v>
      </c>
      <c r="S638" s="395"/>
      <c r="T638" s="395"/>
      <c r="U638" s="395"/>
      <c r="V638" s="396"/>
      <c r="W638" s="376">
        <f>+R638*'Componentes T.H.'!$Q$9*'Parametros Generales'!$C$6</f>
        <v>10037014.142000001</v>
      </c>
      <c r="X638" s="376">
        <f>(+VLOOKUP(C638,'Transporte y Viaticos'!$B$87:$L$120,2,0)*'Parametros Generales'!$C$7*R638)*(2/3)</f>
        <v>955108.06562686176</v>
      </c>
      <c r="Y638" s="417"/>
      <c r="Z638" s="417"/>
      <c r="AA638" s="417"/>
      <c r="AB638" s="417">
        <f>+M638*'Parametros Generales'!$C$6*'Parametros Generales'!$J$9</f>
        <v>3895272.7272727285</v>
      </c>
      <c r="AC638" s="417">
        <f>+H638*'Parametros Generales'!$J$10*'Parametros Generales'!$C$6*'Parametros Generales'!$C$11</f>
        <v>14738498.767401624</v>
      </c>
      <c r="AD638" s="417"/>
      <c r="AE638" s="417"/>
      <c r="AF638" s="417"/>
      <c r="AG638" s="417"/>
      <c r="AH638" s="417"/>
      <c r="AI638" s="417"/>
      <c r="AJ638" s="417"/>
      <c r="AK638" s="436"/>
      <c r="AL638" s="822"/>
    </row>
    <row r="639" spans="1:38" s="33" customFormat="1" hidden="1" outlineLevel="1">
      <c r="A639" s="1150"/>
      <c r="B639" s="823">
        <f t="shared" ref="B639:B653" si="50">+B638</f>
        <v>41</v>
      </c>
      <c r="C639" s="373" t="str">
        <f>+C638</f>
        <v>HUILA</v>
      </c>
      <c r="D639" s="374"/>
      <c r="E639" s="1113" t="s">
        <v>1999</v>
      </c>
      <c r="F639" s="1104">
        <v>1</v>
      </c>
      <c r="G639" s="375">
        <v>198</v>
      </c>
      <c r="H639" s="1062">
        <f>CEILING(G639,'Parametros Generales'!$C$8)</f>
        <v>200</v>
      </c>
      <c r="I639" s="1057" t="s">
        <v>427</v>
      </c>
      <c r="J639" s="1058">
        <v>200</v>
      </c>
      <c r="K639" s="1070" t="str">
        <f t="shared" si="44"/>
        <v>Ok</v>
      </c>
      <c r="L639" s="1077">
        <f t="shared" si="45"/>
        <v>0</v>
      </c>
      <c r="M639" s="1091">
        <f>+H639/'Parametros Generales'!$C$8</f>
        <v>8</v>
      </c>
      <c r="N639" s="1098"/>
      <c r="O639" s="1098"/>
      <c r="P639" s="1098"/>
      <c r="Q639" s="1098"/>
      <c r="R639" s="1098">
        <f>+(M639/'Parametros Generales'!$C$9)</f>
        <v>2</v>
      </c>
      <c r="S639" s="395"/>
      <c r="T639" s="395"/>
      <c r="U639" s="395"/>
      <c r="V639" s="396"/>
      <c r="W639" s="376">
        <f>+R639*'Componentes T.H.'!$Q$9*'Parametros Generales'!$C$6</f>
        <v>10037014.142000001</v>
      </c>
      <c r="X639" s="376">
        <f>(+VLOOKUP(C639,'Transporte y Viaticos'!$B$87:$L$120,2,0)*'Parametros Generales'!$C$7*R639)*(2/3)</f>
        <v>955108.06562686176</v>
      </c>
      <c r="Y639" s="417"/>
      <c r="Z639" s="417"/>
      <c r="AA639" s="417"/>
      <c r="AB639" s="417">
        <f>+M639*'Parametros Generales'!$C$6*'Parametros Generales'!$J$9</f>
        <v>3895272.7272727285</v>
      </c>
      <c r="AC639" s="417">
        <f>+H639*'Parametros Generales'!$J$10*'Parametros Generales'!$C$6*'Parametros Generales'!$C$11</f>
        <v>14738498.767401624</v>
      </c>
      <c r="AD639" s="417"/>
      <c r="AE639" s="417"/>
      <c r="AF639" s="417"/>
      <c r="AG639" s="417"/>
      <c r="AH639" s="417"/>
      <c r="AI639" s="417"/>
      <c r="AJ639" s="417"/>
      <c r="AK639" s="436"/>
      <c r="AL639" s="822"/>
    </row>
    <row r="640" spans="1:38" s="33" customFormat="1" hidden="1" outlineLevel="1">
      <c r="A640" s="1150"/>
      <c r="B640" s="823">
        <f t="shared" si="50"/>
        <v>41</v>
      </c>
      <c r="C640" s="373" t="str">
        <f t="shared" ref="C640:C653" si="51">+C639</f>
        <v>HUILA</v>
      </c>
      <c r="D640" s="374"/>
      <c r="E640" s="1113"/>
      <c r="F640" s="1104"/>
      <c r="G640" s="375"/>
      <c r="H640" s="1062"/>
      <c r="I640" s="1057"/>
      <c r="J640" s="1058"/>
      <c r="K640" s="1070" t="str">
        <f t="shared" si="44"/>
        <v>Ok</v>
      </c>
      <c r="L640" s="1077">
        <f t="shared" si="45"/>
        <v>0</v>
      </c>
      <c r="M640" s="1091">
        <f>+H640/'Parametros Generales'!$C$8</f>
        <v>0</v>
      </c>
      <c r="N640" s="1098"/>
      <c r="O640" s="1098"/>
      <c r="P640" s="1098"/>
      <c r="Q640" s="1098"/>
      <c r="R640" s="1098">
        <f>+(M640/'Parametros Generales'!$C$9)</f>
        <v>0</v>
      </c>
      <c r="S640" s="395"/>
      <c r="T640" s="395"/>
      <c r="U640" s="395"/>
      <c r="V640" s="396"/>
      <c r="W640" s="376">
        <f>+R640*'Componentes T.H.'!$Q$9*'Parametros Generales'!$C$6</f>
        <v>0</v>
      </c>
      <c r="X640" s="376">
        <f>(+VLOOKUP(C640,'Transporte y Viaticos'!$B$87:$L$120,2,0)*'Parametros Generales'!$C$7*R640)*(2/3)</f>
        <v>0</v>
      </c>
      <c r="Y640" s="417"/>
      <c r="Z640" s="417"/>
      <c r="AA640" s="417"/>
      <c r="AB640" s="417">
        <f>+M640*'Parametros Generales'!$C$6*'Parametros Generales'!$J$9</f>
        <v>0</v>
      </c>
      <c r="AC640" s="417">
        <f>+H640*'Parametros Generales'!$J$10*'Parametros Generales'!$C$6*'Parametros Generales'!$C$11</f>
        <v>0</v>
      </c>
      <c r="AD640" s="417"/>
      <c r="AE640" s="417"/>
      <c r="AF640" s="417"/>
      <c r="AG640" s="417"/>
      <c r="AH640" s="417"/>
      <c r="AI640" s="417"/>
      <c r="AJ640" s="417"/>
      <c r="AK640" s="436"/>
      <c r="AL640" s="822"/>
    </row>
    <row r="641" spans="1:38" s="33" customFormat="1" hidden="1" outlineLevel="1">
      <c r="A641" s="1150"/>
      <c r="B641" s="823">
        <f t="shared" si="50"/>
        <v>41</v>
      </c>
      <c r="C641" s="373" t="str">
        <f t="shared" si="51"/>
        <v>HUILA</v>
      </c>
      <c r="D641" s="374"/>
      <c r="E641" s="1113"/>
      <c r="F641" s="1104"/>
      <c r="G641" s="375"/>
      <c r="H641" s="1062"/>
      <c r="I641" s="1057"/>
      <c r="J641" s="1058"/>
      <c r="K641" s="1070" t="str">
        <f t="shared" si="44"/>
        <v>Ok</v>
      </c>
      <c r="L641" s="1077">
        <f t="shared" si="45"/>
        <v>0</v>
      </c>
      <c r="M641" s="1091">
        <f>+H641/'Parametros Generales'!$C$8</f>
        <v>0</v>
      </c>
      <c r="N641" s="1098"/>
      <c r="O641" s="1098"/>
      <c r="P641" s="1098"/>
      <c r="Q641" s="1098"/>
      <c r="R641" s="1098">
        <f>+(M641/'Parametros Generales'!$C$9)</f>
        <v>0</v>
      </c>
      <c r="S641" s="395"/>
      <c r="T641" s="395"/>
      <c r="U641" s="395"/>
      <c r="V641" s="396"/>
      <c r="W641" s="376">
        <f>+R641*'Componentes T.H.'!$Q$9*'Parametros Generales'!$C$6</f>
        <v>0</v>
      </c>
      <c r="X641" s="376">
        <f>(+VLOOKUP(C641,'Transporte y Viaticos'!$B$87:$L$120,2,0)*'Parametros Generales'!$C$7*R641)*(2/3)</f>
        <v>0</v>
      </c>
      <c r="Y641" s="417"/>
      <c r="Z641" s="417"/>
      <c r="AA641" s="417"/>
      <c r="AB641" s="417">
        <f>+M641*'Parametros Generales'!$C$6*'Parametros Generales'!$J$9</f>
        <v>0</v>
      </c>
      <c r="AC641" s="417">
        <f>+H641*'Parametros Generales'!$J$10*'Parametros Generales'!$C$6*'Parametros Generales'!$C$11</f>
        <v>0</v>
      </c>
      <c r="AD641" s="417"/>
      <c r="AE641" s="417"/>
      <c r="AF641" s="417"/>
      <c r="AG641" s="417"/>
      <c r="AH641" s="417"/>
      <c r="AI641" s="417"/>
      <c r="AJ641" s="417"/>
      <c r="AK641" s="436"/>
      <c r="AL641" s="822"/>
    </row>
    <row r="642" spans="1:38" s="33" customFormat="1" hidden="1" outlineLevel="1">
      <c r="A642" s="1150"/>
      <c r="B642" s="823">
        <f t="shared" si="50"/>
        <v>41</v>
      </c>
      <c r="C642" s="373" t="str">
        <f t="shared" si="51"/>
        <v>HUILA</v>
      </c>
      <c r="D642" s="374"/>
      <c r="E642" s="1113"/>
      <c r="F642" s="1104"/>
      <c r="G642" s="375"/>
      <c r="H642" s="1062"/>
      <c r="I642" s="1057"/>
      <c r="J642" s="1058"/>
      <c r="K642" s="1070" t="str">
        <f t="shared" ref="K642:K705" si="52">+IF(I642=E642,"Ok","Rev")</f>
        <v>Ok</v>
      </c>
      <c r="L642" s="1077">
        <f t="shared" ref="L642:L705" si="53">+J642-H642</f>
        <v>0</v>
      </c>
      <c r="M642" s="1091">
        <f>+H642/'Parametros Generales'!$C$8</f>
        <v>0</v>
      </c>
      <c r="N642" s="1098"/>
      <c r="O642" s="1098"/>
      <c r="P642" s="1098"/>
      <c r="Q642" s="1098"/>
      <c r="R642" s="1098">
        <f>+(M642/'Parametros Generales'!$C$9)</f>
        <v>0</v>
      </c>
      <c r="S642" s="395"/>
      <c r="T642" s="395"/>
      <c r="U642" s="395"/>
      <c r="V642" s="396"/>
      <c r="W642" s="376">
        <f>+R642*'Componentes T.H.'!$Q$9*'Parametros Generales'!$C$6</f>
        <v>0</v>
      </c>
      <c r="X642" s="376">
        <f>(+VLOOKUP(C642,'Transporte y Viaticos'!$B$87:$L$120,2,0)*'Parametros Generales'!$C$7*R642)*(2/3)</f>
        <v>0</v>
      </c>
      <c r="Y642" s="417"/>
      <c r="Z642" s="417"/>
      <c r="AA642" s="417"/>
      <c r="AB642" s="417">
        <f>+M642*'Parametros Generales'!$C$6*'Parametros Generales'!$J$9</f>
        <v>0</v>
      </c>
      <c r="AC642" s="417">
        <f>+H642*'Parametros Generales'!$J$10*'Parametros Generales'!$C$6*'Parametros Generales'!$C$11</f>
        <v>0</v>
      </c>
      <c r="AD642" s="417"/>
      <c r="AE642" s="417"/>
      <c r="AF642" s="417"/>
      <c r="AG642" s="417"/>
      <c r="AH642" s="417"/>
      <c r="AI642" s="417"/>
      <c r="AJ642" s="417"/>
      <c r="AK642" s="436"/>
      <c r="AL642" s="822"/>
    </row>
    <row r="643" spans="1:38" s="33" customFormat="1" hidden="1" outlineLevel="1">
      <c r="A643" s="1150"/>
      <c r="B643" s="823">
        <f t="shared" si="50"/>
        <v>41</v>
      </c>
      <c r="C643" s="373" t="str">
        <f t="shared" si="51"/>
        <v>HUILA</v>
      </c>
      <c r="D643" s="374"/>
      <c r="E643" s="1113"/>
      <c r="F643" s="1104"/>
      <c r="G643" s="375"/>
      <c r="H643" s="1062"/>
      <c r="I643" s="1057"/>
      <c r="J643" s="1058"/>
      <c r="K643" s="1070" t="str">
        <f t="shared" si="52"/>
        <v>Ok</v>
      </c>
      <c r="L643" s="1077">
        <f t="shared" si="53"/>
        <v>0</v>
      </c>
      <c r="M643" s="1091">
        <f>+H643/'Parametros Generales'!$C$8</f>
        <v>0</v>
      </c>
      <c r="N643" s="1098"/>
      <c r="O643" s="1098"/>
      <c r="P643" s="1098"/>
      <c r="Q643" s="1098"/>
      <c r="R643" s="1098">
        <f>+(M643/'Parametros Generales'!$C$9)</f>
        <v>0</v>
      </c>
      <c r="S643" s="395"/>
      <c r="T643" s="395"/>
      <c r="U643" s="395"/>
      <c r="V643" s="396"/>
      <c r="W643" s="376">
        <f>+R643*'Componentes T.H.'!$Q$9*'Parametros Generales'!$C$6</f>
        <v>0</v>
      </c>
      <c r="X643" s="376">
        <f>(+VLOOKUP(C643,'Transporte y Viaticos'!$B$87:$L$120,2,0)*'Parametros Generales'!$C$7*R643)*(2/3)</f>
        <v>0</v>
      </c>
      <c r="Y643" s="417"/>
      <c r="Z643" s="417"/>
      <c r="AA643" s="417"/>
      <c r="AB643" s="417">
        <f>+M643*'Parametros Generales'!$C$6*'Parametros Generales'!$J$9</f>
        <v>0</v>
      </c>
      <c r="AC643" s="417">
        <f>+H643*'Parametros Generales'!$J$10*'Parametros Generales'!$C$6*'Parametros Generales'!$C$11</f>
        <v>0</v>
      </c>
      <c r="AD643" s="417"/>
      <c r="AE643" s="417"/>
      <c r="AF643" s="417"/>
      <c r="AG643" s="417"/>
      <c r="AH643" s="417"/>
      <c r="AI643" s="417"/>
      <c r="AJ643" s="417"/>
      <c r="AK643" s="436"/>
      <c r="AL643" s="822"/>
    </row>
    <row r="644" spans="1:38" s="33" customFormat="1" hidden="1" outlineLevel="1">
      <c r="A644" s="1150"/>
      <c r="B644" s="823">
        <f t="shared" si="50"/>
        <v>41</v>
      </c>
      <c r="C644" s="373" t="str">
        <f t="shared" si="51"/>
        <v>HUILA</v>
      </c>
      <c r="D644" s="374"/>
      <c r="E644" s="1113"/>
      <c r="F644" s="1104"/>
      <c r="G644" s="375"/>
      <c r="H644" s="1062"/>
      <c r="I644" s="1057"/>
      <c r="J644" s="1058"/>
      <c r="K644" s="1070" t="str">
        <f t="shared" si="52"/>
        <v>Ok</v>
      </c>
      <c r="L644" s="1077">
        <f t="shared" si="53"/>
        <v>0</v>
      </c>
      <c r="M644" s="1091">
        <f>+H644/'Parametros Generales'!$C$8</f>
        <v>0</v>
      </c>
      <c r="N644" s="1098"/>
      <c r="O644" s="1098"/>
      <c r="P644" s="1098"/>
      <c r="Q644" s="1098"/>
      <c r="R644" s="1098">
        <f>+(M644/'Parametros Generales'!$C$9)</f>
        <v>0</v>
      </c>
      <c r="S644" s="395"/>
      <c r="T644" s="395"/>
      <c r="U644" s="395"/>
      <c r="V644" s="396"/>
      <c r="W644" s="376">
        <f>+R644*'Componentes T.H.'!$Q$9*'Parametros Generales'!$C$6</f>
        <v>0</v>
      </c>
      <c r="X644" s="376">
        <f>(+VLOOKUP(C644,'Transporte y Viaticos'!$B$87:$L$120,2,0)*'Parametros Generales'!$C$7*R644)*(2/3)</f>
        <v>0</v>
      </c>
      <c r="Y644" s="417"/>
      <c r="Z644" s="417"/>
      <c r="AA644" s="417"/>
      <c r="AB644" s="417">
        <f>+M644*'Parametros Generales'!$C$6*'Parametros Generales'!$J$9</f>
        <v>0</v>
      </c>
      <c r="AC644" s="417">
        <f>+H644*'Parametros Generales'!$J$10*'Parametros Generales'!$C$6*'Parametros Generales'!$C$11</f>
        <v>0</v>
      </c>
      <c r="AD644" s="417"/>
      <c r="AE644" s="417"/>
      <c r="AF644" s="417"/>
      <c r="AG644" s="417"/>
      <c r="AH644" s="417"/>
      <c r="AI644" s="417"/>
      <c r="AJ644" s="417"/>
      <c r="AK644" s="436"/>
      <c r="AL644" s="822"/>
    </row>
    <row r="645" spans="1:38" s="33" customFormat="1" hidden="1" outlineLevel="1">
      <c r="A645" s="1150"/>
      <c r="B645" s="823">
        <f t="shared" si="50"/>
        <v>41</v>
      </c>
      <c r="C645" s="373" t="str">
        <f t="shared" si="51"/>
        <v>HUILA</v>
      </c>
      <c r="D645" s="374"/>
      <c r="E645" s="1113"/>
      <c r="F645" s="1104"/>
      <c r="G645" s="375"/>
      <c r="H645" s="1062"/>
      <c r="I645" s="1057"/>
      <c r="J645" s="1058"/>
      <c r="K645" s="1070" t="str">
        <f t="shared" si="52"/>
        <v>Ok</v>
      </c>
      <c r="L645" s="1077">
        <f t="shared" si="53"/>
        <v>0</v>
      </c>
      <c r="M645" s="1091">
        <f>+H645/'Parametros Generales'!$C$8</f>
        <v>0</v>
      </c>
      <c r="N645" s="1098"/>
      <c r="O645" s="1098"/>
      <c r="P645" s="1098"/>
      <c r="Q645" s="1098"/>
      <c r="R645" s="1098">
        <f>+(M645/'Parametros Generales'!$C$9)</f>
        <v>0</v>
      </c>
      <c r="S645" s="395"/>
      <c r="T645" s="395"/>
      <c r="U645" s="395"/>
      <c r="V645" s="396"/>
      <c r="W645" s="376">
        <f>+R645*'Componentes T.H.'!$Q$9*'Parametros Generales'!$C$6</f>
        <v>0</v>
      </c>
      <c r="X645" s="376">
        <f>(+VLOOKUP(C645,'Transporte y Viaticos'!$B$87:$L$120,2,0)*'Parametros Generales'!$C$7*R645)*(2/3)</f>
        <v>0</v>
      </c>
      <c r="Y645" s="417"/>
      <c r="Z645" s="417"/>
      <c r="AA645" s="417"/>
      <c r="AB645" s="417">
        <f>+M645*'Parametros Generales'!$C$6*'Parametros Generales'!$J$9</f>
        <v>0</v>
      </c>
      <c r="AC645" s="417">
        <f>+H645*'Parametros Generales'!$J$10*'Parametros Generales'!$C$6*'Parametros Generales'!$C$11</f>
        <v>0</v>
      </c>
      <c r="AD645" s="417"/>
      <c r="AE645" s="417"/>
      <c r="AF645" s="417"/>
      <c r="AG645" s="417"/>
      <c r="AH645" s="417"/>
      <c r="AI645" s="417"/>
      <c r="AJ645" s="417"/>
      <c r="AK645" s="436"/>
      <c r="AL645" s="822"/>
    </row>
    <row r="646" spans="1:38" s="33" customFormat="1" hidden="1" outlineLevel="1">
      <c r="A646" s="1150"/>
      <c r="B646" s="823">
        <f t="shared" si="50"/>
        <v>41</v>
      </c>
      <c r="C646" s="373" t="str">
        <f t="shared" si="51"/>
        <v>HUILA</v>
      </c>
      <c r="D646" s="374"/>
      <c r="E646" s="1113"/>
      <c r="F646" s="1104"/>
      <c r="G646" s="375"/>
      <c r="H646" s="1062"/>
      <c r="I646" s="1057"/>
      <c r="J646" s="1058"/>
      <c r="K646" s="1070" t="str">
        <f t="shared" si="52"/>
        <v>Ok</v>
      </c>
      <c r="L646" s="1077">
        <f t="shared" si="53"/>
        <v>0</v>
      </c>
      <c r="M646" s="1091">
        <f>+H646/'Parametros Generales'!$C$8</f>
        <v>0</v>
      </c>
      <c r="N646" s="1098"/>
      <c r="O646" s="1098"/>
      <c r="P646" s="1098"/>
      <c r="Q646" s="1098"/>
      <c r="R646" s="1098">
        <f>+(M646/'Parametros Generales'!$C$9)</f>
        <v>0</v>
      </c>
      <c r="S646" s="395"/>
      <c r="T646" s="395"/>
      <c r="U646" s="395"/>
      <c r="V646" s="396"/>
      <c r="W646" s="376">
        <f>+R646*'Componentes T.H.'!$Q$9*'Parametros Generales'!$C$6</f>
        <v>0</v>
      </c>
      <c r="X646" s="376">
        <f>(+VLOOKUP(C646,'Transporte y Viaticos'!$B$87:$L$120,2,0)*'Parametros Generales'!$C$7*R646)*(2/3)</f>
        <v>0</v>
      </c>
      <c r="Y646" s="417"/>
      <c r="Z646" s="417"/>
      <c r="AA646" s="417"/>
      <c r="AB646" s="417">
        <f>+M646*'Parametros Generales'!$C$6*'Parametros Generales'!$J$9</f>
        <v>0</v>
      </c>
      <c r="AC646" s="417">
        <f>+H646*'Parametros Generales'!$J$10*'Parametros Generales'!$C$6*'Parametros Generales'!$C$11</f>
        <v>0</v>
      </c>
      <c r="AD646" s="417"/>
      <c r="AE646" s="417"/>
      <c r="AF646" s="417"/>
      <c r="AG646" s="417"/>
      <c r="AH646" s="417"/>
      <c r="AI646" s="417"/>
      <c r="AJ646" s="417"/>
      <c r="AK646" s="436"/>
      <c r="AL646" s="822"/>
    </row>
    <row r="647" spans="1:38" s="33" customFormat="1" hidden="1" outlineLevel="1">
      <c r="A647" s="1150"/>
      <c r="B647" s="823">
        <f t="shared" si="50"/>
        <v>41</v>
      </c>
      <c r="C647" s="373" t="str">
        <f t="shared" si="51"/>
        <v>HUILA</v>
      </c>
      <c r="D647" s="374"/>
      <c r="E647" s="1113"/>
      <c r="F647" s="1104"/>
      <c r="G647" s="375"/>
      <c r="H647" s="1062"/>
      <c r="I647" s="1057"/>
      <c r="J647" s="1058"/>
      <c r="K647" s="1070" t="str">
        <f t="shared" si="52"/>
        <v>Ok</v>
      </c>
      <c r="L647" s="1077">
        <f t="shared" si="53"/>
        <v>0</v>
      </c>
      <c r="M647" s="1091">
        <f>+H647/'Parametros Generales'!$C$8</f>
        <v>0</v>
      </c>
      <c r="N647" s="1098"/>
      <c r="O647" s="1098"/>
      <c r="P647" s="1098"/>
      <c r="Q647" s="1098"/>
      <c r="R647" s="1098">
        <f>+(M647/'Parametros Generales'!$C$9)</f>
        <v>0</v>
      </c>
      <c r="S647" s="395"/>
      <c r="T647" s="395"/>
      <c r="U647" s="395"/>
      <c r="V647" s="396"/>
      <c r="W647" s="376">
        <f>+R647*'Componentes T.H.'!$Q$9*'Parametros Generales'!$C$6</f>
        <v>0</v>
      </c>
      <c r="X647" s="376">
        <f>(+VLOOKUP(C647,'Transporte y Viaticos'!$B$87:$L$120,2,0)*'Parametros Generales'!$C$7*R647)*(2/3)</f>
        <v>0</v>
      </c>
      <c r="Y647" s="417"/>
      <c r="Z647" s="417"/>
      <c r="AA647" s="417"/>
      <c r="AB647" s="417">
        <f>+M647*'Parametros Generales'!$C$6*'Parametros Generales'!$J$9</f>
        <v>0</v>
      </c>
      <c r="AC647" s="417">
        <f>+H647*'Parametros Generales'!$J$10*'Parametros Generales'!$C$6*'Parametros Generales'!$C$11</f>
        <v>0</v>
      </c>
      <c r="AD647" s="417"/>
      <c r="AE647" s="417"/>
      <c r="AF647" s="417"/>
      <c r="AG647" s="417"/>
      <c r="AH647" s="417"/>
      <c r="AI647" s="417"/>
      <c r="AJ647" s="417"/>
      <c r="AK647" s="436"/>
      <c r="AL647" s="822"/>
    </row>
    <row r="648" spans="1:38" s="33" customFormat="1" hidden="1" outlineLevel="1">
      <c r="A648" s="1150"/>
      <c r="B648" s="823">
        <f t="shared" si="50"/>
        <v>41</v>
      </c>
      <c r="C648" s="373" t="str">
        <f t="shared" si="51"/>
        <v>HUILA</v>
      </c>
      <c r="D648" s="374"/>
      <c r="E648" s="1113"/>
      <c r="F648" s="1104"/>
      <c r="G648" s="375"/>
      <c r="H648" s="1062"/>
      <c r="I648" s="1057"/>
      <c r="J648" s="1058"/>
      <c r="K648" s="1070" t="str">
        <f t="shared" si="52"/>
        <v>Ok</v>
      </c>
      <c r="L648" s="1077">
        <f t="shared" si="53"/>
        <v>0</v>
      </c>
      <c r="M648" s="1091">
        <f>+H648/'Parametros Generales'!$C$8</f>
        <v>0</v>
      </c>
      <c r="N648" s="1098"/>
      <c r="O648" s="1098"/>
      <c r="P648" s="1098"/>
      <c r="Q648" s="1098"/>
      <c r="R648" s="1098">
        <f>+(M648/'Parametros Generales'!$C$9)</f>
        <v>0</v>
      </c>
      <c r="S648" s="395"/>
      <c r="T648" s="395"/>
      <c r="U648" s="395"/>
      <c r="V648" s="396"/>
      <c r="W648" s="376">
        <f>+R648*'Componentes T.H.'!$Q$9*'Parametros Generales'!$C$6</f>
        <v>0</v>
      </c>
      <c r="X648" s="376">
        <f>(+VLOOKUP(C648,'Transporte y Viaticos'!$B$87:$L$120,2,0)*'Parametros Generales'!$C$7*R648)*(2/3)</f>
        <v>0</v>
      </c>
      <c r="Y648" s="417"/>
      <c r="Z648" s="417"/>
      <c r="AA648" s="417"/>
      <c r="AB648" s="417">
        <f>+M648*'Parametros Generales'!$C$6*'Parametros Generales'!$J$9</f>
        <v>0</v>
      </c>
      <c r="AC648" s="417">
        <f>+H648*'Parametros Generales'!$J$10*'Parametros Generales'!$C$6*'Parametros Generales'!$C$11</f>
        <v>0</v>
      </c>
      <c r="AD648" s="417"/>
      <c r="AE648" s="417"/>
      <c r="AF648" s="417"/>
      <c r="AG648" s="417"/>
      <c r="AH648" s="417"/>
      <c r="AI648" s="417"/>
      <c r="AJ648" s="417"/>
      <c r="AK648" s="436"/>
      <c r="AL648" s="822"/>
    </row>
    <row r="649" spans="1:38" s="33" customFormat="1" hidden="1" outlineLevel="1">
      <c r="A649" s="1150"/>
      <c r="B649" s="823">
        <f t="shared" si="50"/>
        <v>41</v>
      </c>
      <c r="C649" s="373" t="str">
        <f t="shared" si="51"/>
        <v>HUILA</v>
      </c>
      <c r="D649" s="374"/>
      <c r="E649" s="1113"/>
      <c r="F649" s="1104"/>
      <c r="G649" s="375"/>
      <c r="H649" s="1062"/>
      <c r="I649" s="1057"/>
      <c r="J649" s="1058"/>
      <c r="K649" s="1070" t="str">
        <f t="shared" si="52"/>
        <v>Ok</v>
      </c>
      <c r="L649" s="1077">
        <f t="shared" si="53"/>
        <v>0</v>
      </c>
      <c r="M649" s="1091">
        <f>+H649/'Parametros Generales'!$C$8</f>
        <v>0</v>
      </c>
      <c r="N649" s="1098"/>
      <c r="O649" s="1098"/>
      <c r="P649" s="1098"/>
      <c r="Q649" s="1098"/>
      <c r="R649" s="1098">
        <f>+(M649/'Parametros Generales'!$C$9)</f>
        <v>0</v>
      </c>
      <c r="S649" s="395"/>
      <c r="T649" s="395"/>
      <c r="U649" s="395"/>
      <c r="V649" s="396"/>
      <c r="W649" s="376">
        <f>+R649*'Componentes T.H.'!$Q$9*'Parametros Generales'!$C$6</f>
        <v>0</v>
      </c>
      <c r="X649" s="376">
        <f>(+VLOOKUP(C649,'Transporte y Viaticos'!$B$87:$L$120,2,0)*'Parametros Generales'!$C$7*R649)*(2/3)</f>
        <v>0</v>
      </c>
      <c r="Y649" s="417"/>
      <c r="Z649" s="417"/>
      <c r="AA649" s="417"/>
      <c r="AB649" s="417">
        <f>+M649*'Parametros Generales'!$C$6*'Parametros Generales'!$J$9</f>
        <v>0</v>
      </c>
      <c r="AC649" s="417">
        <f>+H649*'Parametros Generales'!$J$10*'Parametros Generales'!$C$6*'Parametros Generales'!$C$11</f>
        <v>0</v>
      </c>
      <c r="AD649" s="417"/>
      <c r="AE649" s="417"/>
      <c r="AF649" s="417"/>
      <c r="AG649" s="417"/>
      <c r="AH649" s="417"/>
      <c r="AI649" s="417"/>
      <c r="AJ649" s="417"/>
      <c r="AK649" s="436"/>
      <c r="AL649" s="822"/>
    </row>
    <row r="650" spans="1:38" s="33" customFormat="1" hidden="1" outlineLevel="1">
      <c r="A650" s="1150"/>
      <c r="B650" s="823">
        <f t="shared" si="50"/>
        <v>41</v>
      </c>
      <c r="C650" s="373" t="str">
        <f t="shared" si="51"/>
        <v>HUILA</v>
      </c>
      <c r="D650" s="374"/>
      <c r="E650" s="1113"/>
      <c r="F650" s="1104"/>
      <c r="G650" s="375"/>
      <c r="H650" s="1062"/>
      <c r="I650" s="1057"/>
      <c r="J650" s="1058"/>
      <c r="K650" s="1070" t="str">
        <f t="shared" si="52"/>
        <v>Ok</v>
      </c>
      <c r="L650" s="1077">
        <f t="shared" si="53"/>
        <v>0</v>
      </c>
      <c r="M650" s="1091">
        <f>+H650/'Parametros Generales'!$C$8</f>
        <v>0</v>
      </c>
      <c r="N650" s="1098"/>
      <c r="O650" s="1098"/>
      <c r="P650" s="1098"/>
      <c r="Q650" s="1098"/>
      <c r="R650" s="1098">
        <f>+(M650/'Parametros Generales'!$C$9)</f>
        <v>0</v>
      </c>
      <c r="S650" s="395"/>
      <c r="T650" s="395"/>
      <c r="U650" s="395"/>
      <c r="V650" s="396"/>
      <c r="W650" s="376">
        <f>+R650*'Componentes T.H.'!$Q$9*'Parametros Generales'!$C$6</f>
        <v>0</v>
      </c>
      <c r="X650" s="376">
        <f>(+VLOOKUP(C650,'Transporte y Viaticos'!$B$87:$L$120,2,0)*'Parametros Generales'!$C$7*R650)*(2/3)</f>
        <v>0</v>
      </c>
      <c r="Y650" s="417"/>
      <c r="Z650" s="417"/>
      <c r="AA650" s="417"/>
      <c r="AB650" s="417">
        <f>+M650*'Parametros Generales'!$C$6*'Parametros Generales'!$J$9</f>
        <v>0</v>
      </c>
      <c r="AC650" s="417">
        <f>+H650*'Parametros Generales'!$J$10*'Parametros Generales'!$C$6*'Parametros Generales'!$C$11</f>
        <v>0</v>
      </c>
      <c r="AD650" s="417"/>
      <c r="AE650" s="417"/>
      <c r="AF650" s="417"/>
      <c r="AG650" s="417"/>
      <c r="AH650" s="417"/>
      <c r="AI650" s="417"/>
      <c r="AJ650" s="417"/>
      <c r="AK650" s="436"/>
      <c r="AL650" s="822"/>
    </row>
    <row r="651" spans="1:38" s="33" customFormat="1" hidden="1" outlineLevel="1">
      <c r="A651" s="1150"/>
      <c r="B651" s="823">
        <f t="shared" si="50"/>
        <v>41</v>
      </c>
      <c r="C651" s="373" t="str">
        <f t="shared" si="51"/>
        <v>HUILA</v>
      </c>
      <c r="D651" s="374"/>
      <c r="E651" s="1113"/>
      <c r="F651" s="1104"/>
      <c r="G651" s="375"/>
      <c r="H651" s="1062"/>
      <c r="I651" s="1057"/>
      <c r="J651" s="1058"/>
      <c r="K651" s="1070" t="str">
        <f t="shared" si="52"/>
        <v>Ok</v>
      </c>
      <c r="L651" s="1077">
        <f t="shared" si="53"/>
        <v>0</v>
      </c>
      <c r="M651" s="1091">
        <f>+H651/'Parametros Generales'!$C$8</f>
        <v>0</v>
      </c>
      <c r="N651" s="1098"/>
      <c r="O651" s="1098"/>
      <c r="P651" s="1098"/>
      <c r="Q651" s="1098"/>
      <c r="R651" s="1098">
        <f>+(M651/'Parametros Generales'!$C$9)</f>
        <v>0</v>
      </c>
      <c r="S651" s="395"/>
      <c r="T651" s="395"/>
      <c r="U651" s="395"/>
      <c r="V651" s="396"/>
      <c r="W651" s="376">
        <f>+R651*'Componentes T.H.'!$Q$9*'Parametros Generales'!$C$6</f>
        <v>0</v>
      </c>
      <c r="X651" s="376">
        <f>(+VLOOKUP(C651,'Transporte y Viaticos'!$B$87:$L$120,2,0)*'Parametros Generales'!$C$7*R651)*(2/3)</f>
        <v>0</v>
      </c>
      <c r="Y651" s="417"/>
      <c r="Z651" s="417"/>
      <c r="AA651" s="417"/>
      <c r="AB651" s="417">
        <f>+M651*'Parametros Generales'!$C$6*'Parametros Generales'!$J$9</f>
        <v>0</v>
      </c>
      <c r="AC651" s="417">
        <f>+H651*'Parametros Generales'!$J$10*'Parametros Generales'!$C$6*'Parametros Generales'!$C$11</f>
        <v>0</v>
      </c>
      <c r="AD651" s="417"/>
      <c r="AE651" s="417"/>
      <c r="AF651" s="417"/>
      <c r="AG651" s="417"/>
      <c r="AH651" s="417"/>
      <c r="AI651" s="417"/>
      <c r="AJ651" s="417"/>
      <c r="AK651" s="436"/>
      <c r="AL651" s="822"/>
    </row>
    <row r="652" spans="1:38" s="33" customFormat="1" hidden="1" outlineLevel="1">
      <c r="A652" s="1150"/>
      <c r="B652" s="823">
        <f t="shared" si="50"/>
        <v>41</v>
      </c>
      <c r="C652" s="373" t="str">
        <f t="shared" si="51"/>
        <v>HUILA</v>
      </c>
      <c r="D652" s="374"/>
      <c r="E652" s="1113"/>
      <c r="F652" s="1104"/>
      <c r="G652" s="375"/>
      <c r="H652" s="1062"/>
      <c r="I652" s="1057"/>
      <c r="J652" s="1058"/>
      <c r="K652" s="1070" t="str">
        <f t="shared" si="52"/>
        <v>Ok</v>
      </c>
      <c r="L652" s="1077">
        <f t="shared" si="53"/>
        <v>0</v>
      </c>
      <c r="M652" s="1091">
        <f>+H652/'Parametros Generales'!$C$8</f>
        <v>0</v>
      </c>
      <c r="N652" s="1098"/>
      <c r="O652" s="1098"/>
      <c r="P652" s="1098"/>
      <c r="Q652" s="1098"/>
      <c r="R652" s="1098">
        <f>+(M652/'Parametros Generales'!$C$9)</f>
        <v>0</v>
      </c>
      <c r="S652" s="395"/>
      <c r="T652" s="395"/>
      <c r="U652" s="395"/>
      <c r="V652" s="396"/>
      <c r="W652" s="376">
        <f>+R652*'Componentes T.H.'!$Q$9*'Parametros Generales'!$C$6</f>
        <v>0</v>
      </c>
      <c r="X652" s="376">
        <f>(+VLOOKUP(C652,'Transporte y Viaticos'!$B$87:$L$120,2,0)*'Parametros Generales'!$C$7*R652)*(2/3)</f>
        <v>0</v>
      </c>
      <c r="Y652" s="417"/>
      <c r="Z652" s="417"/>
      <c r="AA652" s="417"/>
      <c r="AB652" s="417">
        <f>+M652*'Parametros Generales'!$C$6*'Parametros Generales'!$J$9</f>
        <v>0</v>
      </c>
      <c r="AC652" s="417">
        <f>+H652*'Parametros Generales'!$J$10*'Parametros Generales'!$C$6*'Parametros Generales'!$C$11</f>
        <v>0</v>
      </c>
      <c r="AD652" s="417"/>
      <c r="AE652" s="417"/>
      <c r="AF652" s="417"/>
      <c r="AG652" s="417"/>
      <c r="AH652" s="417"/>
      <c r="AI652" s="417"/>
      <c r="AJ652" s="417"/>
      <c r="AK652" s="436"/>
      <c r="AL652" s="822"/>
    </row>
    <row r="653" spans="1:38" s="33" customFormat="1" hidden="1" outlineLevel="1">
      <c r="A653" s="1150"/>
      <c r="B653" s="823">
        <f t="shared" si="50"/>
        <v>41</v>
      </c>
      <c r="C653" s="373" t="str">
        <f t="shared" si="51"/>
        <v>HUILA</v>
      </c>
      <c r="D653" s="374"/>
      <c r="E653" s="1113"/>
      <c r="F653" s="1104"/>
      <c r="G653" s="375"/>
      <c r="H653" s="1062"/>
      <c r="I653" s="1057"/>
      <c r="J653" s="1058"/>
      <c r="K653" s="1070" t="str">
        <f t="shared" si="52"/>
        <v>Ok</v>
      </c>
      <c r="L653" s="1077">
        <f t="shared" si="53"/>
        <v>0</v>
      </c>
      <c r="M653" s="1091">
        <f>+H653/'Parametros Generales'!$C$8</f>
        <v>0</v>
      </c>
      <c r="N653" s="1098"/>
      <c r="O653" s="1098"/>
      <c r="P653" s="1098"/>
      <c r="Q653" s="1098"/>
      <c r="R653" s="1098">
        <f>+(M653/'Parametros Generales'!$C$9)</f>
        <v>0</v>
      </c>
      <c r="S653" s="395"/>
      <c r="T653" s="395"/>
      <c r="U653" s="395"/>
      <c r="V653" s="396"/>
      <c r="W653" s="376">
        <f>+R653*'Componentes T.H.'!$Q$9*'Parametros Generales'!$C$6</f>
        <v>0</v>
      </c>
      <c r="X653" s="376">
        <f>(+VLOOKUP(C653,'Transporte y Viaticos'!$B$87:$L$120,2,0)*'Parametros Generales'!$C$7*R653)*(2/3)</f>
        <v>0</v>
      </c>
      <c r="Y653" s="417"/>
      <c r="Z653" s="417"/>
      <c r="AA653" s="417"/>
      <c r="AB653" s="417">
        <f>+M653*'Parametros Generales'!$C$6*'Parametros Generales'!$J$9</f>
        <v>0</v>
      </c>
      <c r="AC653" s="417">
        <f>+H653*'Parametros Generales'!$J$10*'Parametros Generales'!$C$6*'Parametros Generales'!$C$11</f>
        <v>0</v>
      </c>
      <c r="AD653" s="417"/>
      <c r="AE653" s="417"/>
      <c r="AF653" s="417"/>
      <c r="AG653" s="417"/>
      <c r="AH653" s="417"/>
      <c r="AI653" s="417"/>
      <c r="AJ653" s="417"/>
      <c r="AK653" s="436"/>
      <c r="AL653" s="822"/>
    </row>
    <row r="654" spans="1:38" s="392" customFormat="1" collapsed="1">
      <c r="A654" s="1151">
        <v>14</v>
      </c>
      <c r="B654" s="824">
        <v>44</v>
      </c>
      <c r="C654" s="385" t="s">
        <v>428</v>
      </c>
      <c r="D654" s="386"/>
      <c r="E654" s="1114" t="s">
        <v>428</v>
      </c>
      <c r="F654" s="1105">
        <f>SUM(F655:F678)</f>
        <v>12</v>
      </c>
      <c r="G654" s="388">
        <f>+SUM(G655:G666)</f>
        <v>2970</v>
      </c>
      <c r="H654" s="512">
        <f>+SUM(H655:H678)</f>
        <v>3000</v>
      </c>
      <c r="I654" s="1057" t="s">
        <v>428</v>
      </c>
      <c r="J654" s="1067">
        <v>3000</v>
      </c>
      <c r="K654" s="1069" t="str">
        <f t="shared" si="52"/>
        <v>Ok</v>
      </c>
      <c r="L654" s="1077">
        <f t="shared" si="53"/>
        <v>0</v>
      </c>
      <c r="M654" s="512">
        <f>+SUM(M655:M678)</f>
        <v>120</v>
      </c>
      <c r="N654" s="1073">
        <f>+VLOOKUP(H654,'Parametros Generales'!$B$14:$D$17,3,TRUE)</f>
        <v>0.6</v>
      </c>
      <c r="O654" s="1073">
        <f>+VLOOKUP(H654,'Parametros Generales'!$B$14:$D$17,3,TRUE)</f>
        <v>0.6</v>
      </c>
      <c r="P654" s="1073">
        <f>+VLOOKUP(H654,'Parametros Generales'!$B$14:$D$17,3,TRUE)</f>
        <v>0.6</v>
      </c>
      <c r="Q654" s="1073">
        <f>+R654/'Parametros Generales'!$C$10</f>
        <v>3.75</v>
      </c>
      <c r="R654" s="512">
        <f>+SUM(R655:R678)</f>
        <v>30</v>
      </c>
      <c r="S654" s="390">
        <f>+VLOOKUP(S$1,'Componentes T.H.'!$B$4:$R$22,'Componentes T.H.'!$Q$1,0)*'Parametros Generales'!$C$6*'Cost x Depart'!N654</f>
        <v>8794058.4826000016</v>
      </c>
      <c r="T654" s="390">
        <f>+VLOOKUP(T$1,'Componentes T.H.'!$B$4:$R$22,'Componentes T.H.'!$Q$1,0)*'Parametros Generales'!$C$6*'Cost x Depart'!O654</f>
        <v>6626289.3953999998</v>
      </c>
      <c r="U654" s="390">
        <f>+VLOOKUP(U$1,'Componentes T.H.'!$B$4:$R$22,'Componentes T.H.'!$Q$1,0)*'Parametros Generales'!$C$6*'Cost x Depart'!P654</f>
        <v>2934259.1999999997</v>
      </c>
      <c r="V654" s="389">
        <f>+VLOOKUP(V$1,'Componentes T.H.'!$B$4:$R$22,'Componentes T.H.'!$Q$1,0)*'Parametros Generales'!$C$6*'Cost x Depart'!Q654</f>
        <v>37466428.253749996</v>
      </c>
      <c r="W654" s="512">
        <f>+SUM(W655:W678)</f>
        <v>150555212.13000003</v>
      </c>
      <c r="X654" s="512">
        <f>+SUM(X655:X678)</f>
        <v>12789895.332025357</v>
      </c>
      <c r="Y654" s="391">
        <f>+VLOOKUP(C655,'Transporte y Viaticos'!$B$87:$F$120,2,0)*((O654/'Parametros Generales'!$J$14)+(Q654/'Parametros Generales'!$J$15)+(R654/'Parametros Generales'!$J$16))*'Parametros Generales'!$C$6</f>
        <v>618711.18668672652</v>
      </c>
      <c r="Z654" s="391">
        <f>+(N654+O654+Q654)*'Parametros Generales'!$C$6*'Parametros Generales'!$J$7</f>
        <v>973269</v>
      </c>
      <c r="AA654" s="391">
        <f>+SUM(N654:R654)*'Parametros Generales'!$C$6*'Parametros Generales'!$J$8</f>
        <v>6381225</v>
      </c>
      <c r="AB654" s="512">
        <f>+SUM(AB655:AB678)</f>
        <v>58429090.909090906</v>
      </c>
      <c r="AC654" s="512">
        <f>+SUM(AC655:AC678)</f>
        <v>221077481.51102442</v>
      </c>
      <c r="AD654" s="391">
        <f>+'Parametros Generales'!$J$11*SUM(N654:R654)</f>
        <v>1195902</v>
      </c>
      <c r="AE654" s="436">
        <f>+SUM(S654:AD654)</f>
        <v>507841822.40057743</v>
      </c>
      <c r="AF654" s="391">
        <f>+AE654*(SUM('Res de Costos Pais'!G117:G117))</f>
        <v>34787164.834439553</v>
      </c>
      <c r="AG654" s="391">
        <f>+AE654+AF654</f>
        <v>542628987.23501694</v>
      </c>
      <c r="AH654" s="391">
        <f>+AG654*SUM('Res de Costos Pais'!$G$123:$G$124)</f>
        <v>5241796.0166902635</v>
      </c>
      <c r="AI654" s="391">
        <f>+(AG654+AH654)*'Res de Costos Pais'!$G$136</f>
        <v>1479251.1147796095</v>
      </c>
      <c r="AJ654" s="391">
        <f>+(AG654+AH654+AI654)*'Res de Costos Pais'!$G$140</f>
        <v>2197400.1374659473</v>
      </c>
      <c r="AK654" s="391">
        <f>+AG654+AH654+AI654+AJ654</f>
        <v>551547434.50395274</v>
      </c>
      <c r="AL654" s="820">
        <f>IF(ISERROR((+(AK654/H654)/'Parametros Generales'!$C$6)),0,(+(AK654/H654)/'Parametros Generales'!$C$6))</f>
        <v>36769.828966930181</v>
      </c>
    </row>
    <row r="655" spans="1:38" s="33" customFormat="1" hidden="1" outlineLevel="1">
      <c r="A655" s="1150"/>
      <c r="B655" s="819">
        <v>44</v>
      </c>
      <c r="C655" s="377" t="s">
        <v>428</v>
      </c>
      <c r="D655" s="378">
        <f>+VLOOKUP(E655,Codigos!$A$1:$B$1123,2,0)</f>
        <v>44001</v>
      </c>
      <c r="E655" s="1110" t="s">
        <v>2000</v>
      </c>
      <c r="F655" s="1102">
        <v>1</v>
      </c>
      <c r="G655" s="379">
        <v>792</v>
      </c>
      <c r="H655" s="1060">
        <f>CEILING(G655,'Parametros Generales'!$C$8)</f>
        <v>800</v>
      </c>
      <c r="I655" s="1057" t="s">
        <v>429</v>
      </c>
      <c r="J655" s="1058">
        <v>800</v>
      </c>
      <c r="K655" s="1070" t="str">
        <f t="shared" si="52"/>
        <v>Ok</v>
      </c>
      <c r="L655" s="1077">
        <f t="shared" si="53"/>
        <v>0</v>
      </c>
      <c r="M655" s="1089">
        <f>+H655/'Parametros Generales'!$C$8</f>
        <v>32</v>
      </c>
      <c r="N655" s="1096"/>
      <c r="O655" s="1096"/>
      <c r="P655" s="1096"/>
      <c r="Q655" s="1096"/>
      <c r="R655" s="1096">
        <f>+(M655/'Parametros Generales'!$C$9)</f>
        <v>8</v>
      </c>
      <c r="S655" s="393"/>
      <c r="T655" s="393"/>
      <c r="U655" s="393"/>
      <c r="V655" s="394"/>
      <c r="W655" s="380">
        <f>+R655*'Componentes T.H.'!$Q$9*'Parametros Generales'!$C$6</f>
        <v>40148056.568000004</v>
      </c>
      <c r="X655" s="380">
        <f>(+VLOOKUP(C655,'Transporte y Viaticos'!$B$87:$L$120,2,0)*'Parametros Generales'!$C$7*R655)*(2/3)</f>
        <v>3410638.755206761</v>
      </c>
      <c r="Y655" s="417"/>
      <c r="Z655" s="417"/>
      <c r="AA655" s="417"/>
      <c r="AB655" s="417">
        <f>+M655*'Parametros Generales'!$C$6*'Parametros Generales'!$J$9</f>
        <v>15581090.909090914</v>
      </c>
      <c r="AC655" s="417">
        <f>+H655*'Parametros Generales'!$J$10*'Parametros Generales'!$C$6*'Parametros Generales'!$C$11</f>
        <v>58953995.069606498</v>
      </c>
      <c r="AD655" s="417"/>
      <c r="AE655" s="417"/>
      <c r="AF655" s="417"/>
      <c r="AG655" s="417"/>
      <c r="AH655" s="417"/>
      <c r="AI655" s="417"/>
      <c r="AJ655" s="417"/>
      <c r="AK655" s="436"/>
      <c r="AL655" s="822"/>
    </row>
    <row r="656" spans="1:38" s="33" customFormat="1" hidden="1" outlineLevel="1">
      <c r="A656" s="1150"/>
      <c r="B656" s="821">
        <v>44</v>
      </c>
      <c r="C656" s="371" t="s">
        <v>428</v>
      </c>
      <c r="D656" s="31">
        <f>+VLOOKUP(E656,Codigos!$A$1:$B$1123,2,0)</f>
        <v>44035</v>
      </c>
      <c r="E656" s="1111" t="s">
        <v>2001</v>
      </c>
      <c r="F656" s="1103">
        <v>1</v>
      </c>
      <c r="G656" s="30">
        <v>198</v>
      </c>
      <c r="H656" s="1061">
        <f>CEILING(G656,'Parametros Generales'!$C$8)</f>
        <v>200</v>
      </c>
      <c r="I656" s="1057" t="s">
        <v>430</v>
      </c>
      <c r="J656" s="1058">
        <v>200</v>
      </c>
      <c r="K656" s="1070" t="str">
        <f t="shared" si="52"/>
        <v>Ok</v>
      </c>
      <c r="L656" s="1077">
        <f t="shared" si="53"/>
        <v>0</v>
      </c>
      <c r="M656" s="1090">
        <f>+H656/'Parametros Generales'!$C$8</f>
        <v>8</v>
      </c>
      <c r="N656" s="1097"/>
      <c r="O656" s="1097"/>
      <c r="P656" s="1097"/>
      <c r="Q656" s="1097"/>
      <c r="R656" s="1097">
        <f>+(M656/'Parametros Generales'!$C$9)</f>
        <v>2</v>
      </c>
      <c r="S656" s="390"/>
      <c r="T656" s="390"/>
      <c r="U656" s="390"/>
      <c r="V656" s="389"/>
      <c r="W656" s="32">
        <f>+R656*'Componentes T.H.'!$Q$9*'Parametros Generales'!$C$6</f>
        <v>10037014.142000001</v>
      </c>
      <c r="X656" s="32">
        <f>(+VLOOKUP(C656,'Transporte y Viaticos'!$B$87:$L$120,2,0)*'Parametros Generales'!$C$7*R656)*(2/3)</f>
        <v>852659.68880169024</v>
      </c>
      <c r="Y656" s="417"/>
      <c r="Z656" s="417"/>
      <c r="AA656" s="417"/>
      <c r="AB656" s="417">
        <f>+M656*'Parametros Generales'!$C$6*'Parametros Generales'!$J$9</f>
        <v>3895272.7272727285</v>
      </c>
      <c r="AC656" s="417">
        <f>+H656*'Parametros Generales'!$J$10*'Parametros Generales'!$C$6*'Parametros Generales'!$C$11</f>
        <v>14738498.767401624</v>
      </c>
      <c r="AD656" s="417"/>
      <c r="AE656" s="417"/>
      <c r="AF656" s="417"/>
      <c r="AG656" s="417"/>
      <c r="AH656" s="417"/>
      <c r="AI656" s="417"/>
      <c r="AJ656" s="417"/>
      <c r="AK656" s="436"/>
      <c r="AL656" s="822"/>
    </row>
    <row r="657" spans="1:38" s="33" customFormat="1" hidden="1" outlineLevel="1">
      <c r="A657" s="1150"/>
      <c r="B657" s="821">
        <v>44</v>
      </c>
      <c r="C657" s="371" t="s">
        <v>428</v>
      </c>
      <c r="D657" s="31">
        <f>+VLOOKUP(E657,Codigos!$A$1:$B$1123,2,0)</f>
        <v>44078</v>
      </c>
      <c r="E657" s="1111" t="s">
        <v>2002</v>
      </c>
      <c r="F657" s="1103">
        <v>1</v>
      </c>
      <c r="G657" s="30">
        <v>198</v>
      </c>
      <c r="H657" s="1061">
        <f>CEILING(G657,'Parametros Generales'!$C$8)</f>
        <v>200</v>
      </c>
      <c r="I657" s="1057" t="s">
        <v>431</v>
      </c>
      <c r="J657" s="1058">
        <v>200</v>
      </c>
      <c r="K657" s="1070" t="str">
        <f t="shared" si="52"/>
        <v>Ok</v>
      </c>
      <c r="L657" s="1076">
        <f t="shared" si="53"/>
        <v>0</v>
      </c>
      <c r="M657" s="1090">
        <f>+H657/'Parametros Generales'!$C$8</f>
        <v>8</v>
      </c>
      <c r="N657" s="1097"/>
      <c r="O657" s="1097"/>
      <c r="P657" s="1097"/>
      <c r="Q657" s="1097"/>
      <c r="R657" s="1097">
        <f>+(M657/'Parametros Generales'!$C$9)</f>
        <v>2</v>
      </c>
      <c r="S657" s="390"/>
      <c r="T657" s="390"/>
      <c r="U657" s="390"/>
      <c r="V657" s="389"/>
      <c r="W657" s="32">
        <f>+R657*'Componentes T.H.'!$Q$9*'Parametros Generales'!$C$6</f>
        <v>10037014.142000001</v>
      </c>
      <c r="X657" s="32">
        <f>(+VLOOKUP(C657,'Transporte y Viaticos'!$B$87:$L$120,2,0)*'Parametros Generales'!$C$7*R657)*(2/3)</f>
        <v>852659.68880169024</v>
      </c>
      <c r="Y657" s="417"/>
      <c r="Z657" s="417"/>
      <c r="AA657" s="417"/>
      <c r="AB657" s="417">
        <f>+M657*'Parametros Generales'!$C$6*'Parametros Generales'!$J$9</f>
        <v>3895272.7272727285</v>
      </c>
      <c r="AC657" s="417">
        <f>+H657*'Parametros Generales'!$J$10*'Parametros Generales'!$C$6*'Parametros Generales'!$C$11</f>
        <v>14738498.767401624</v>
      </c>
      <c r="AD657" s="417"/>
      <c r="AE657" s="417"/>
      <c r="AF657" s="417"/>
      <c r="AG657" s="417"/>
      <c r="AH657" s="417"/>
      <c r="AI657" s="417"/>
      <c r="AJ657" s="417"/>
      <c r="AK657" s="436"/>
      <c r="AL657" s="822"/>
    </row>
    <row r="658" spans="1:38" s="33" customFormat="1" hidden="1" outlineLevel="1">
      <c r="A658" s="1150"/>
      <c r="B658" s="821">
        <v>44</v>
      </c>
      <c r="C658" s="371" t="s">
        <v>428</v>
      </c>
      <c r="D658" s="31">
        <f>+VLOOKUP(E658,Codigos!$A$1:$B$1123,2,0)</f>
        <v>44090</v>
      </c>
      <c r="E658" s="1111" t="s">
        <v>2003</v>
      </c>
      <c r="F658" s="1103">
        <v>1</v>
      </c>
      <c r="G658" s="30">
        <v>198</v>
      </c>
      <c r="H658" s="1061">
        <f>CEILING(G658,'Parametros Generales'!$C$8)</f>
        <v>200</v>
      </c>
      <c r="I658" s="1057" t="s">
        <v>432</v>
      </c>
      <c r="J658" s="1058">
        <v>200</v>
      </c>
      <c r="K658" s="1070" t="str">
        <f t="shared" si="52"/>
        <v>Ok</v>
      </c>
      <c r="L658" s="1077">
        <f t="shared" si="53"/>
        <v>0</v>
      </c>
      <c r="M658" s="1090">
        <f>+H658/'Parametros Generales'!$C$8</f>
        <v>8</v>
      </c>
      <c r="N658" s="1097"/>
      <c r="O658" s="1097"/>
      <c r="P658" s="1097"/>
      <c r="Q658" s="1097"/>
      <c r="R658" s="1097">
        <f>+(M658/'Parametros Generales'!$C$9)</f>
        <v>2</v>
      </c>
      <c r="S658" s="390"/>
      <c r="T658" s="390"/>
      <c r="U658" s="390"/>
      <c r="V658" s="389"/>
      <c r="W658" s="32">
        <f>+R658*'Componentes T.H.'!$Q$9*'Parametros Generales'!$C$6</f>
        <v>10037014.142000001</v>
      </c>
      <c r="X658" s="32">
        <f>(+VLOOKUP(C658,'Transporte y Viaticos'!$B$87:$L$120,2,0)*'Parametros Generales'!$C$7*R658)*(2/3)</f>
        <v>852659.68880169024</v>
      </c>
      <c r="Y658" s="417"/>
      <c r="Z658" s="417"/>
      <c r="AA658" s="417"/>
      <c r="AB658" s="417">
        <f>+M658*'Parametros Generales'!$C$6*'Parametros Generales'!$J$9</f>
        <v>3895272.7272727285</v>
      </c>
      <c r="AC658" s="417">
        <f>+H658*'Parametros Generales'!$J$10*'Parametros Generales'!$C$6*'Parametros Generales'!$C$11</f>
        <v>14738498.767401624</v>
      </c>
      <c r="AD658" s="417"/>
      <c r="AE658" s="417"/>
      <c r="AF658" s="417"/>
      <c r="AG658" s="417"/>
      <c r="AH658" s="417"/>
      <c r="AI658" s="417"/>
      <c r="AJ658" s="417"/>
      <c r="AK658" s="436"/>
      <c r="AL658" s="822"/>
    </row>
    <row r="659" spans="1:38" s="33" customFormat="1" hidden="1" outlineLevel="1">
      <c r="A659" s="1150"/>
      <c r="B659" s="821">
        <v>44</v>
      </c>
      <c r="C659" s="371" t="s">
        <v>428</v>
      </c>
      <c r="D659" s="31">
        <f>+VLOOKUP(E659,Codigos!$A$1:$B$1123,2,0)</f>
        <v>44279</v>
      </c>
      <c r="E659" s="1111" t="s">
        <v>2004</v>
      </c>
      <c r="F659" s="1103">
        <v>1</v>
      </c>
      <c r="G659" s="30">
        <v>198</v>
      </c>
      <c r="H659" s="1061">
        <f>CEILING(G659,'Parametros Generales'!$C$8)</f>
        <v>200</v>
      </c>
      <c r="I659" s="1057" t="s">
        <v>433</v>
      </c>
      <c r="J659" s="1058">
        <v>200</v>
      </c>
      <c r="K659" s="1070" t="str">
        <f t="shared" si="52"/>
        <v>Ok</v>
      </c>
      <c r="L659" s="1077">
        <f t="shared" si="53"/>
        <v>0</v>
      </c>
      <c r="M659" s="1090">
        <f>+H659/'Parametros Generales'!$C$8</f>
        <v>8</v>
      </c>
      <c r="N659" s="1097"/>
      <c r="O659" s="1097"/>
      <c r="P659" s="1097"/>
      <c r="Q659" s="1097"/>
      <c r="R659" s="1097">
        <f>+(M659/'Parametros Generales'!$C$9)</f>
        <v>2</v>
      </c>
      <c r="S659" s="390"/>
      <c r="T659" s="390"/>
      <c r="U659" s="390"/>
      <c r="V659" s="389"/>
      <c r="W659" s="32">
        <f>+R659*'Componentes T.H.'!$Q$9*'Parametros Generales'!$C$6</f>
        <v>10037014.142000001</v>
      </c>
      <c r="X659" s="32">
        <f>(+VLOOKUP(C659,'Transporte y Viaticos'!$B$87:$L$120,2,0)*'Parametros Generales'!$C$7*R659)*(2/3)</f>
        <v>852659.68880169024</v>
      </c>
      <c r="Y659" s="417"/>
      <c r="Z659" s="417"/>
      <c r="AA659" s="417"/>
      <c r="AB659" s="417">
        <f>+M659*'Parametros Generales'!$C$6*'Parametros Generales'!$J$9</f>
        <v>3895272.7272727285</v>
      </c>
      <c r="AC659" s="417">
        <f>+H659*'Parametros Generales'!$J$10*'Parametros Generales'!$C$6*'Parametros Generales'!$C$11</f>
        <v>14738498.767401624</v>
      </c>
      <c r="AD659" s="417"/>
      <c r="AE659" s="417"/>
      <c r="AF659" s="417"/>
      <c r="AG659" s="417"/>
      <c r="AH659" s="417"/>
      <c r="AI659" s="417"/>
      <c r="AJ659" s="417"/>
      <c r="AK659" s="436"/>
      <c r="AL659" s="822"/>
    </row>
    <row r="660" spans="1:38" s="33" customFormat="1" hidden="1" outlineLevel="1">
      <c r="A660" s="1150"/>
      <c r="B660" s="821">
        <v>44</v>
      </c>
      <c r="C660" s="371" t="s">
        <v>428</v>
      </c>
      <c r="D660" s="31">
        <f>+VLOOKUP(E660,Codigos!$A$1:$B$1123,2,0)</f>
        <v>44378</v>
      </c>
      <c r="E660" s="1111" t="s">
        <v>2005</v>
      </c>
      <c r="F660" s="1103">
        <v>1</v>
      </c>
      <c r="G660" s="30">
        <v>198</v>
      </c>
      <c r="H660" s="1061">
        <f>CEILING(G660,'Parametros Generales'!$C$8)</f>
        <v>200</v>
      </c>
      <c r="I660" s="1057" t="s">
        <v>434</v>
      </c>
      <c r="J660" s="1058">
        <v>200</v>
      </c>
      <c r="K660" s="1070" t="str">
        <f t="shared" si="52"/>
        <v>Ok</v>
      </c>
      <c r="L660" s="1077">
        <f t="shared" si="53"/>
        <v>0</v>
      </c>
      <c r="M660" s="1090">
        <f>+H660/'Parametros Generales'!$C$8</f>
        <v>8</v>
      </c>
      <c r="N660" s="1097"/>
      <c r="O660" s="1097"/>
      <c r="P660" s="1097"/>
      <c r="Q660" s="1097"/>
      <c r="R660" s="1097">
        <f>+(M660/'Parametros Generales'!$C$9)</f>
        <v>2</v>
      </c>
      <c r="S660" s="390"/>
      <c r="T660" s="390"/>
      <c r="U660" s="390"/>
      <c r="V660" s="389"/>
      <c r="W660" s="32">
        <f>+R660*'Componentes T.H.'!$Q$9*'Parametros Generales'!$C$6</f>
        <v>10037014.142000001</v>
      </c>
      <c r="X660" s="32">
        <f>(+VLOOKUP(C660,'Transporte y Viaticos'!$B$87:$L$120,2,0)*'Parametros Generales'!$C$7*R660)*(2/3)</f>
        <v>852659.68880169024</v>
      </c>
      <c r="Y660" s="417"/>
      <c r="Z660" s="417"/>
      <c r="AA660" s="417"/>
      <c r="AB660" s="417">
        <f>+M660*'Parametros Generales'!$C$6*'Parametros Generales'!$J$9</f>
        <v>3895272.7272727285</v>
      </c>
      <c r="AC660" s="417">
        <f>+H660*'Parametros Generales'!$J$10*'Parametros Generales'!$C$6*'Parametros Generales'!$C$11</f>
        <v>14738498.767401624</v>
      </c>
      <c r="AD660" s="417"/>
      <c r="AE660" s="417"/>
      <c r="AF660" s="417"/>
      <c r="AG660" s="417"/>
      <c r="AH660" s="417"/>
      <c r="AI660" s="417"/>
      <c r="AJ660" s="417"/>
      <c r="AK660" s="436"/>
      <c r="AL660" s="822"/>
    </row>
    <row r="661" spans="1:38" s="33" customFormat="1" hidden="1" outlineLevel="1">
      <c r="A661" s="1150"/>
      <c r="B661" s="821">
        <v>44</v>
      </c>
      <c r="C661" s="371" t="s">
        <v>428</v>
      </c>
      <c r="D661" s="31">
        <f>+VLOOKUP(E661,Codigos!$A$1:$B$1123,2,0)</f>
        <v>44430</v>
      </c>
      <c r="E661" s="1111" t="s">
        <v>2006</v>
      </c>
      <c r="F661" s="1103">
        <v>1</v>
      </c>
      <c r="G661" s="30">
        <v>198</v>
      </c>
      <c r="H661" s="1061">
        <f>CEILING(G661,'Parametros Generales'!$C$8)</f>
        <v>200</v>
      </c>
      <c r="I661" s="1057" t="s">
        <v>435</v>
      </c>
      <c r="J661" s="1058">
        <v>200</v>
      </c>
      <c r="K661" s="1070" t="str">
        <f t="shared" si="52"/>
        <v>Ok</v>
      </c>
      <c r="L661" s="1077">
        <f t="shared" si="53"/>
        <v>0</v>
      </c>
      <c r="M661" s="1090">
        <f>+H661/'Parametros Generales'!$C$8</f>
        <v>8</v>
      </c>
      <c r="N661" s="1097"/>
      <c r="O661" s="1097"/>
      <c r="P661" s="1097"/>
      <c r="Q661" s="1097"/>
      <c r="R661" s="1097">
        <f>+(M661/'Parametros Generales'!$C$9)</f>
        <v>2</v>
      </c>
      <c r="S661" s="390"/>
      <c r="T661" s="390"/>
      <c r="U661" s="390"/>
      <c r="V661" s="389"/>
      <c r="W661" s="32">
        <f>+R661*'Componentes T.H.'!$Q$9*'Parametros Generales'!$C$6</f>
        <v>10037014.142000001</v>
      </c>
      <c r="X661" s="32">
        <f>(+VLOOKUP(C661,'Transporte y Viaticos'!$B$87:$L$120,2,0)*'Parametros Generales'!$C$7*R661)*(2/3)</f>
        <v>852659.68880169024</v>
      </c>
      <c r="Y661" s="417"/>
      <c r="Z661" s="417"/>
      <c r="AA661" s="417"/>
      <c r="AB661" s="417">
        <f>+M661*'Parametros Generales'!$C$6*'Parametros Generales'!$J$9</f>
        <v>3895272.7272727285</v>
      </c>
      <c r="AC661" s="417">
        <f>+H661*'Parametros Generales'!$J$10*'Parametros Generales'!$C$6*'Parametros Generales'!$C$11</f>
        <v>14738498.767401624</v>
      </c>
      <c r="AD661" s="417"/>
      <c r="AE661" s="417"/>
      <c r="AF661" s="417"/>
      <c r="AG661" s="417"/>
      <c r="AH661" s="417"/>
      <c r="AI661" s="417"/>
      <c r="AJ661" s="417"/>
      <c r="AK661" s="436"/>
      <c r="AL661" s="822"/>
    </row>
    <row r="662" spans="1:38" s="33" customFormat="1" hidden="1" outlineLevel="1">
      <c r="A662" s="1150"/>
      <c r="B662" s="821">
        <v>44</v>
      </c>
      <c r="C662" s="371" t="s">
        <v>428</v>
      </c>
      <c r="D662" s="31">
        <f>+VLOOKUP(E662,Codigos!$A$1:$B$1123,2,0)</f>
        <v>44560</v>
      </c>
      <c r="E662" s="1111" t="s">
        <v>2007</v>
      </c>
      <c r="F662" s="1103">
        <v>1</v>
      </c>
      <c r="G662" s="30">
        <v>198</v>
      </c>
      <c r="H662" s="1061">
        <f>CEILING(G662,'Parametros Generales'!$C$8)</f>
        <v>200</v>
      </c>
      <c r="I662" s="1057" t="s">
        <v>436</v>
      </c>
      <c r="J662" s="1058">
        <v>200</v>
      </c>
      <c r="K662" s="1070" t="str">
        <f t="shared" si="52"/>
        <v>Ok</v>
      </c>
      <c r="L662" s="1077">
        <f t="shared" si="53"/>
        <v>0</v>
      </c>
      <c r="M662" s="1090">
        <f>+H662/'Parametros Generales'!$C$8</f>
        <v>8</v>
      </c>
      <c r="N662" s="1097"/>
      <c r="O662" s="1097"/>
      <c r="P662" s="1097"/>
      <c r="Q662" s="1097"/>
      <c r="R662" s="1097">
        <f>+(M662/'Parametros Generales'!$C$9)</f>
        <v>2</v>
      </c>
      <c r="S662" s="390"/>
      <c r="T662" s="390"/>
      <c r="U662" s="390"/>
      <c r="V662" s="389"/>
      <c r="W662" s="32">
        <f>+R662*'Componentes T.H.'!$Q$9*'Parametros Generales'!$C$6</f>
        <v>10037014.142000001</v>
      </c>
      <c r="X662" s="32">
        <f>(+VLOOKUP(C662,'Transporte y Viaticos'!$B$87:$L$120,2,0)*'Parametros Generales'!$C$7*R662)*(2/3)</f>
        <v>852659.68880169024</v>
      </c>
      <c r="Y662" s="417"/>
      <c r="Z662" s="417"/>
      <c r="AA662" s="417"/>
      <c r="AB662" s="417">
        <f>+M662*'Parametros Generales'!$C$6*'Parametros Generales'!$J$9</f>
        <v>3895272.7272727285</v>
      </c>
      <c r="AC662" s="417">
        <f>+H662*'Parametros Generales'!$J$10*'Parametros Generales'!$C$6*'Parametros Generales'!$C$11</f>
        <v>14738498.767401624</v>
      </c>
      <c r="AD662" s="417"/>
      <c r="AE662" s="417"/>
      <c r="AF662" s="417"/>
      <c r="AG662" s="417"/>
      <c r="AH662" s="417"/>
      <c r="AI662" s="417"/>
      <c r="AJ662" s="417"/>
      <c r="AK662" s="436"/>
      <c r="AL662" s="822"/>
    </row>
    <row r="663" spans="1:38" s="33" customFormat="1" hidden="1" outlineLevel="1">
      <c r="A663" s="1150"/>
      <c r="B663" s="821">
        <v>44</v>
      </c>
      <c r="C663" s="371" t="s">
        <v>428</v>
      </c>
      <c r="D663" s="31">
        <f>+VLOOKUP(E663,Codigos!$A$1:$B$1123,2,0)</f>
        <v>44650</v>
      </c>
      <c r="E663" s="1111" t="s">
        <v>2008</v>
      </c>
      <c r="F663" s="1103">
        <v>1</v>
      </c>
      <c r="G663" s="30">
        <v>198</v>
      </c>
      <c r="H663" s="1061">
        <f>CEILING(G663,'Parametros Generales'!$C$8)</f>
        <v>200</v>
      </c>
      <c r="I663" s="1057" t="s">
        <v>437</v>
      </c>
      <c r="J663" s="1058">
        <v>200</v>
      </c>
      <c r="K663" s="1070" t="str">
        <f t="shared" si="52"/>
        <v>Ok</v>
      </c>
      <c r="L663" s="1077">
        <f t="shared" si="53"/>
        <v>0</v>
      </c>
      <c r="M663" s="1090">
        <f>+H663/'Parametros Generales'!$C$8</f>
        <v>8</v>
      </c>
      <c r="N663" s="1097"/>
      <c r="O663" s="1097"/>
      <c r="P663" s="1097"/>
      <c r="Q663" s="1097"/>
      <c r="R663" s="1097">
        <f>+(M663/'Parametros Generales'!$C$9)</f>
        <v>2</v>
      </c>
      <c r="S663" s="390"/>
      <c r="T663" s="390"/>
      <c r="U663" s="390"/>
      <c r="V663" s="389"/>
      <c r="W663" s="32">
        <f>+R663*'Componentes T.H.'!$Q$9*'Parametros Generales'!$C$6</f>
        <v>10037014.142000001</v>
      </c>
      <c r="X663" s="32">
        <f>(+VLOOKUP(C663,'Transporte y Viaticos'!$B$87:$L$120,2,0)*'Parametros Generales'!$C$7*R663)*(2/3)</f>
        <v>852659.68880169024</v>
      </c>
      <c r="Y663" s="417"/>
      <c r="Z663" s="417"/>
      <c r="AA663" s="417"/>
      <c r="AB663" s="417">
        <f>+M663*'Parametros Generales'!$C$6*'Parametros Generales'!$J$9</f>
        <v>3895272.7272727285</v>
      </c>
      <c r="AC663" s="417">
        <f>+H663*'Parametros Generales'!$J$10*'Parametros Generales'!$C$6*'Parametros Generales'!$C$11</f>
        <v>14738498.767401624</v>
      </c>
      <c r="AD663" s="417"/>
      <c r="AE663" s="417"/>
      <c r="AF663" s="417"/>
      <c r="AG663" s="417"/>
      <c r="AH663" s="417"/>
      <c r="AI663" s="417"/>
      <c r="AJ663" s="417"/>
      <c r="AK663" s="436"/>
      <c r="AL663" s="822"/>
    </row>
    <row r="664" spans="1:38" s="33" customFormat="1" hidden="1" outlineLevel="1">
      <c r="A664" s="1150"/>
      <c r="B664" s="821">
        <v>44</v>
      </c>
      <c r="C664" s="371" t="s">
        <v>428</v>
      </c>
      <c r="D664" s="31">
        <f>+VLOOKUP(E664,Codigos!$A$1:$B$1123,2,0)</f>
        <v>44847</v>
      </c>
      <c r="E664" s="1111" t="s">
        <v>2009</v>
      </c>
      <c r="F664" s="1103">
        <v>1</v>
      </c>
      <c r="G664" s="30">
        <v>198</v>
      </c>
      <c r="H664" s="1061">
        <f>CEILING(G664,'Parametros Generales'!$C$8)</f>
        <v>200</v>
      </c>
      <c r="I664" s="1057" t="s">
        <v>438</v>
      </c>
      <c r="J664" s="1058">
        <v>200</v>
      </c>
      <c r="K664" s="1070" t="str">
        <f t="shared" si="52"/>
        <v>Ok</v>
      </c>
      <c r="L664" s="1077">
        <f t="shared" si="53"/>
        <v>0</v>
      </c>
      <c r="M664" s="1090">
        <f>+H664/'Parametros Generales'!$C$8</f>
        <v>8</v>
      </c>
      <c r="N664" s="1097"/>
      <c r="O664" s="1097"/>
      <c r="P664" s="1097"/>
      <c r="Q664" s="1097"/>
      <c r="R664" s="1097">
        <f>+(M664/'Parametros Generales'!$C$9)</f>
        <v>2</v>
      </c>
      <c r="S664" s="390"/>
      <c r="T664" s="390"/>
      <c r="U664" s="390"/>
      <c r="V664" s="389"/>
      <c r="W664" s="32">
        <f>+R664*'Componentes T.H.'!$Q$9*'Parametros Generales'!$C$6</f>
        <v>10037014.142000001</v>
      </c>
      <c r="X664" s="32">
        <f>(+VLOOKUP(C664,'Transporte y Viaticos'!$B$87:$L$120,2,0)*'Parametros Generales'!$C$7*R664)*(2/3)</f>
        <v>852659.68880169024</v>
      </c>
      <c r="Y664" s="417"/>
      <c r="Z664" s="417"/>
      <c r="AA664" s="417"/>
      <c r="AB664" s="417">
        <f>+M664*'Parametros Generales'!$C$6*'Parametros Generales'!$J$9</f>
        <v>3895272.7272727285</v>
      </c>
      <c r="AC664" s="417">
        <f>+H664*'Parametros Generales'!$J$10*'Parametros Generales'!$C$6*'Parametros Generales'!$C$11</f>
        <v>14738498.767401624</v>
      </c>
      <c r="AD664" s="417"/>
      <c r="AE664" s="417"/>
      <c r="AF664" s="417"/>
      <c r="AG664" s="417"/>
      <c r="AH664" s="417"/>
      <c r="AI664" s="417"/>
      <c r="AJ664" s="417"/>
      <c r="AK664" s="436"/>
      <c r="AL664" s="822"/>
    </row>
    <row r="665" spans="1:38" s="33" customFormat="1" hidden="1" outlineLevel="1">
      <c r="A665" s="1150"/>
      <c r="B665" s="821">
        <v>44</v>
      </c>
      <c r="C665" s="371" t="s">
        <v>428</v>
      </c>
      <c r="D665" s="31">
        <f>+VLOOKUP(E665,Codigos!$A$1:$B$1123,2,0)</f>
        <v>44855</v>
      </c>
      <c r="E665" s="1111" t="s">
        <v>2010</v>
      </c>
      <c r="F665" s="1103">
        <v>1</v>
      </c>
      <c r="G665" s="30">
        <v>198</v>
      </c>
      <c r="H665" s="1061">
        <f>CEILING(G665,'Parametros Generales'!$C$8)</f>
        <v>200</v>
      </c>
      <c r="I665" s="1057" t="s">
        <v>439</v>
      </c>
      <c r="J665" s="1058">
        <v>200</v>
      </c>
      <c r="K665" s="1070" t="str">
        <f t="shared" si="52"/>
        <v>Ok</v>
      </c>
      <c r="L665" s="1077">
        <f t="shared" si="53"/>
        <v>0</v>
      </c>
      <c r="M665" s="1090">
        <f>+H665/'Parametros Generales'!$C$8</f>
        <v>8</v>
      </c>
      <c r="N665" s="1097"/>
      <c r="O665" s="1097"/>
      <c r="P665" s="1097"/>
      <c r="Q665" s="1097"/>
      <c r="R665" s="1097">
        <f>+(M665/'Parametros Generales'!$C$9)</f>
        <v>2</v>
      </c>
      <c r="S665" s="390"/>
      <c r="T665" s="390"/>
      <c r="U665" s="390"/>
      <c r="V665" s="389"/>
      <c r="W665" s="32">
        <f>+R665*'Componentes T.H.'!$Q$9*'Parametros Generales'!$C$6</f>
        <v>10037014.142000001</v>
      </c>
      <c r="X665" s="32">
        <f>(+VLOOKUP(C665,'Transporte y Viaticos'!$B$87:$L$120,2,0)*'Parametros Generales'!$C$7*R665)*(2/3)</f>
        <v>852659.68880169024</v>
      </c>
      <c r="Y665" s="417"/>
      <c r="Z665" s="417"/>
      <c r="AA665" s="417"/>
      <c r="AB665" s="417">
        <f>+M665*'Parametros Generales'!$C$6*'Parametros Generales'!$J$9</f>
        <v>3895272.7272727285</v>
      </c>
      <c r="AC665" s="417">
        <f>+H665*'Parametros Generales'!$J$10*'Parametros Generales'!$C$6*'Parametros Generales'!$C$11</f>
        <v>14738498.767401624</v>
      </c>
      <c r="AD665" s="417"/>
      <c r="AE665" s="417"/>
      <c r="AF665" s="417"/>
      <c r="AG665" s="417"/>
      <c r="AH665" s="417"/>
      <c r="AI665" s="417"/>
      <c r="AJ665" s="417"/>
      <c r="AK665" s="436"/>
      <c r="AL665" s="822"/>
    </row>
    <row r="666" spans="1:38" s="33" customFormat="1" hidden="1" outlineLevel="1">
      <c r="A666" s="1150"/>
      <c r="B666" s="823">
        <v>44</v>
      </c>
      <c r="C666" s="373" t="s">
        <v>428</v>
      </c>
      <c r="D666" s="374">
        <f>+VLOOKUP(E666,Codigos!$A$1:$B$1123,2,0)</f>
        <v>44874</v>
      </c>
      <c r="E666" s="1113" t="s">
        <v>2011</v>
      </c>
      <c r="F666" s="1104">
        <v>1</v>
      </c>
      <c r="G666" s="375">
        <v>198</v>
      </c>
      <c r="H666" s="1062">
        <f>CEILING(G666,'Parametros Generales'!$C$8)</f>
        <v>200</v>
      </c>
      <c r="I666" s="1057" t="s">
        <v>440</v>
      </c>
      <c r="J666" s="1058">
        <v>200</v>
      </c>
      <c r="K666" s="1070" t="str">
        <f t="shared" si="52"/>
        <v>Ok</v>
      </c>
      <c r="L666" s="1077">
        <f t="shared" si="53"/>
        <v>0</v>
      </c>
      <c r="M666" s="1091">
        <f>+H666/'Parametros Generales'!$C$8</f>
        <v>8</v>
      </c>
      <c r="N666" s="1098"/>
      <c r="O666" s="1098"/>
      <c r="P666" s="1098"/>
      <c r="Q666" s="1098"/>
      <c r="R666" s="1098">
        <f>+(M666/'Parametros Generales'!$C$9)</f>
        <v>2</v>
      </c>
      <c r="S666" s="395"/>
      <c r="T666" s="395"/>
      <c r="U666" s="395"/>
      <c r="V666" s="396"/>
      <c r="W666" s="376">
        <f>+R666*'Componentes T.H.'!$Q$9*'Parametros Generales'!$C$6</f>
        <v>10037014.142000001</v>
      </c>
      <c r="X666" s="376">
        <f>(+VLOOKUP(C666,'Transporte y Viaticos'!$B$87:$L$120,2,0)*'Parametros Generales'!$C$7*R666)*(2/3)</f>
        <v>852659.68880169024</v>
      </c>
      <c r="Y666" s="417"/>
      <c r="Z666" s="417"/>
      <c r="AA666" s="417"/>
      <c r="AB666" s="417">
        <f>+M666*'Parametros Generales'!$C$6*'Parametros Generales'!$J$9</f>
        <v>3895272.7272727285</v>
      </c>
      <c r="AC666" s="417">
        <f>+H666*'Parametros Generales'!$J$10*'Parametros Generales'!$C$6*'Parametros Generales'!$C$11</f>
        <v>14738498.767401624</v>
      </c>
      <c r="AD666" s="417"/>
      <c r="AE666" s="417"/>
      <c r="AF666" s="417"/>
      <c r="AG666" s="417"/>
      <c r="AH666" s="417"/>
      <c r="AI666" s="417"/>
      <c r="AJ666" s="417"/>
      <c r="AK666" s="436"/>
      <c r="AL666" s="822"/>
    </row>
    <row r="667" spans="1:38" s="33" customFormat="1" hidden="1" outlineLevel="1">
      <c r="A667" s="1150"/>
      <c r="B667" s="823">
        <f t="shared" ref="B667:B678" si="54">+B666</f>
        <v>44</v>
      </c>
      <c r="C667" s="373" t="str">
        <f t="shared" ref="C667:C678" si="55">+C666</f>
        <v>LA GUAJIRA</v>
      </c>
      <c r="D667" s="374"/>
      <c r="E667" s="1113"/>
      <c r="F667" s="1104"/>
      <c r="G667" s="375"/>
      <c r="H667" s="1062"/>
      <c r="I667" s="1057"/>
      <c r="J667" s="1058"/>
      <c r="K667" s="1070" t="str">
        <f t="shared" si="52"/>
        <v>Ok</v>
      </c>
      <c r="L667" s="1077">
        <f t="shared" si="53"/>
        <v>0</v>
      </c>
      <c r="M667" s="1091">
        <f>+H667/'Parametros Generales'!$C$8</f>
        <v>0</v>
      </c>
      <c r="N667" s="1098"/>
      <c r="O667" s="1098"/>
      <c r="P667" s="1098"/>
      <c r="Q667" s="1098"/>
      <c r="R667" s="1098">
        <f>+(M667/'Parametros Generales'!$C$9)</f>
        <v>0</v>
      </c>
      <c r="S667" s="395"/>
      <c r="T667" s="395"/>
      <c r="U667" s="395"/>
      <c r="V667" s="396"/>
      <c r="W667" s="376">
        <f>+R667*'Componentes T.H.'!$Q$9*'Parametros Generales'!$C$6</f>
        <v>0</v>
      </c>
      <c r="X667" s="376">
        <f>(+VLOOKUP(C667,'Transporte y Viaticos'!$B$87:$L$120,2,0)*'Parametros Generales'!$C$7*R667)*(2/3)</f>
        <v>0</v>
      </c>
      <c r="Y667" s="417"/>
      <c r="Z667" s="417"/>
      <c r="AA667" s="417"/>
      <c r="AB667" s="417">
        <f>+M667*'Parametros Generales'!$C$6*'Parametros Generales'!$J$9</f>
        <v>0</v>
      </c>
      <c r="AC667" s="417">
        <f>+H667*'Parametros Generales'!$J$10*'Parametros Generales'!$C$6*'Parametros Generales'!$C$11</f>
        <v>0</v>
      </c>
      <c r="AD667" s="417"/>
      <c r="AE667" s="417"/>
      <c r="AF667" s="417"/>
      <c r="AG667" s="417"/>
      <c r="AH667" s="417"/>
      <c r="AI667" s="417"/>
      <c r="AJ667" s="417"/>
      <c r="AK667" s="436"/>
      <c r="AL667" s="822"/>
    </row>
    <row r="668" spans="1:38" s="33" customFormat="1" hidden="1" outlineLevel="1">
      <c r="A668" s="1150"/>
      <c r="B668" s="823">
        <f t="shared" si="54"/>
        <v>44</v>
      </c>
      <c r="C668" s="373" t="str">
        <f t="shared" si="55"/>
        <v>LA GUAJIRA</v>
      </c>
      <c r="D668" s="374"/>
      <c r="E668" s="1113"/>
      <c r="F668" s="1104"/>
      <c r="G668" s="375"/>
      <c r="H668" s="1062"/>
      <c r="I668" s="1057"/>
      <c r="J668" s="1058"/>
      <c r="K668" s="1070" t="str">
        <f t="shared" si="52"/>
        <v>Ok</v>
      </c>
      <c r="L668" s="1077">
        <f t="shared" si="53"/>
        <v>0</v>
      </c>
      <c r="M668" s="1091">
        <f>+H668/'Parametros Generales'!$C$8</f>
        <v>0</v>
      </c>
      <c r="N668" s="1098"/>
      <c r="O668" s="1098"/>
      <c r="P668" s="1098"/>
      <c r="Q668" s="1098"/>
      <c r="R668" s="1098">
        <f>+(M668/'Parametros Generales'!$C$9)</f>
        <v>0</v>
      </c>
      <c r="S668" s="395"/>
      <c r="T668" s="395"/>
      <c r="U668" s="395"/>
      <c r="V668" s="396"/>
      <c r="W668" s="376">
        <f>+R668*'Componentes T.H.'!$Q$9*'Parametros Generales'!$C$6</f>
        <v>0</v>
      </c>
      <c r="X668" s="376">
        <f>(+VLOOKUP(C668,'Transporte y Viaticos'!$B$87:$L$120,2,0)*'Parametros Generales'!$C$7*R668)*(2/3)</f>
        <v>0</v>
      </c>
      <c r="Y668" s="417"/>
      <c r="Z668" s="417"/>
      <c r="AA668" s="417"/>
      <c r="AB668" s="417">
        <f>+M668*'Parametros Generales'!$C$6*'Parametros Generales'!$J$9</f>
        <v>0</v>
      </c>
      <c r="AC668" s="417">
        <f>+H668*'Parametros Generales'!$J$10*'Parametros Generales'!$C$6*'Parametros Generales'!$C$11</f>
        <v>0</v>
      </c>
      <c r="AD668" s="417"/>
      <c r="AE668" s="417"/>
      <c r="AF668" s="417"/>
      <c r="AG668" s="417"/>
      <c r="AH668" s="417"/>
      <c r="AI668" s="417"/>
      <c r="AJ668" s="417"/>
      <c r="AK668" s="436"/>
      <c r="AL668" s="822"/>
    </row>
    <row r="669" spans="1:38" s="33" customFormat="1" hidden="1" outlineLevel="1">
      <c r="A669" s="1150"/>
      <c r="B669" s="823">
        <f t="shared" si="54"/>
        <v>44</v>
      </c>
      <c r="C669" s="373" t="str">
        <f t="shared" si="55"/>
        <v>LA GUAJIRA</v>
      </c>
      <c r="D669" s="374"/>
      <c r="E669" s="1113"/>
      <c r="F669" s="1104"/>
      <c r="G669" s="375"/>
      <c r="H669" s="1062"/>
      <c r="I669" s="1057"/>
      <c r="J669" s="1058"/>
      <c r="K669" s="1070" t="str">
        <f t="shared" si="52"/>
        <v>Ok</v>
      </c>
      <c r="L669" s="1077">
        <f t="shared" si="53"/>
        <v>0</v>
      </c>
      <c r="M669" s="1091">
        <f>+H669/'Parametros Generales'!$C$8</f>
        <v>0</v>
      </c>
      <c r="N669" s="1098"/>
      <c r="O669" s="1098"/>
      <c r="P669" s="1098"/>
      <c r="Q669" s="1098"/>
      <c r="R669" s="1098">
        <f>+(M669/'Parametros Generales'!$C$9)</f>
        <v>0</v>
      </c>
      <c r="S669" s="395"/>
      <c r="T669" s="395"/>
      <c r="U669" s="395"/>
      <c r="V669" s="396"/>
      <c r="W669" s="376">
        <f>+R669*'Componentes T.H.'!$Q$9*'Parametros Generales'!$C$6</f>
        <v>0</v>
      </c>
      <c r="X669" s="376">
        <f>(+VLOOKUP(C669,'Transporte y Viaticos'!$B$87:$L$120,2,0)*'Parametros Generales'!$C$7*R669)*(2/3)</f>
        <v>0</v>
      </c>
      <c r="Y669" s="417"/>
      <c r="Z669" s="417"/>
      <c r="AA669" s="417"/>
      <c r="AB669" s="417">
        <f>+M669*'Parametros Generales'!$C$6*'Parametros Generales'!$J$9</f>
        <v>0</v>
      </c>
      <c r="AC669" s="417">
        <f>+H669*'Parametros Generales'!$J$10*'Parametros Generales'!$C$6*'Parametros Generales'!$C$11</f>
        <v>0</v>
      </c>
      <c r="AD669" s="417"/>
      <c r="AE669" s="417"/>
      <c r="AF669" s="417"/>
      <c r="AG669" s="417"/>
      <c r="AH669" s="417"/>
      <c r="AI669" s="417"/>
      <c r="AJ669" s="417"/>
      <c r="AK669" s="436"/>
      <c r="AL669" s="822"/>
    </row>
    <row r="670" spans="1:38" s="33" customFormat="1" hidden="1" outlineLevel="1">
      <c r="A670" s="1150"/>
      <c r="B670" s="823">
        <f t="shared" si="54"/>
        <v>44</v>
      </c>
      <c r="C670" s="373" t="str">
        <f t="shared" si="55"/>
        <v>LA GUAJIRA</v>
      </c>
      <c r="D670" s="374"/>
      <c r="E670" s="1113"/>
      <c r="F670" s="1104"/>
      <c r="G670" s="375"/>
      <c r="H670" s="1062"/>
      <c r="I670" s="1057"/>
      <c r="J670" s="1058"/>
      <c r="K670" s="1070" t="str">
        <f t="shared" si="52"/>
        <v>Ok</v>
      </c>
      <c r="L670" s="1077">
        <f t="shared" si="53"/>
        <v>0</v>
      </c>
      <c r="M670" s="1091">
        <f>+H670/'Parametros Generales'!$C$8</f>
        <v>0</v>
      </c>
      <c r="N670" s="1098"/>
      <c r="O670" s="1098"/>
      <c r="P670" s="1098"/>
      <c r="Q670" s="1098"/>
      <c r="R670" s="1098">
        <f>+(M670/'Parametros Generales'!$C$9)</f>
        <v>0</v>
      </c>
      <c r="S670" s="395"/>
      <c r="T670" s="395"/>
      <c r="U670" s="395"/>
      <c r="V670" s="396"/>
      <c r="W670" s="376">
        <f>+R670*'Componentes T.H.'!$Q$9*'Parametros Generales'!$C$6</f>
        <v>0</v>
      </c>
      <c r="X670" s="376">
        <f>(+VLOOKUP(C670,'Transporte y Viaticos'!$B$87:$L$120,2,0)*'Parametros Generales'!$C$7*R670)*(2/3)</f>
        <v>0</v>
      </c>
      <c r="Y670" s="417"/>
      <c r="Z670" s="417"/>
      <c r="AA670" s="417"/>
      <c r="AB670" s="417">
        <f>+M670*'Parametros Generales'!$C$6*'Parametros Generales'!$J$9</f>
        <v>0</v>
      </c>
      <c r="AC670" s="417">
        <f>+H670*'Parametros Generales'!$J$10*'Parametros Generales'!$C$6*'Parametros Generales'!$C$11</f>
        <v>0</v>
      </c>
      <c r="AD670" s="417"/>
      <c r="AE670" s="417"/>
      <c r="AF670" s="417"/>
      <c r="AG670" s="417"/>
      <c r="AH670" s="417"/>
      <c r="AI670" s="417"/>
      <c r="AJ670" s="417"/>
      <c r="AK670" s="436"/>
      <c r="AL670" s="822"/>
    </row>
    <row r="671" spans="1:38" s="33" customFormat="1" hidden="1" outlineLevel="1">
      <c r="A671" s="1150"/>
      <c r="B671" s="823">
        <f t="shared" si="54"/>
        <v>44</v>
      </c>
      <c r="C671" s="373" t="str">
        <f t="shared" si="55"/>
        <v>LA GUAJIRA</v>
      </c>
      <c r="D671" s="374"/>
      <c r="E671" s="1113"/>
      <c r="F671" s="1104"/>
      <c r="G671" s="375"/>
      <c r="H671" s="1062"/>
      <c r="I671" s="1057"/>
      <c r="J671" s="1058"/>
      <c r="K671" s="1070" t="str">
        <f t="shared" si="52"/>
        <v>Ok</v>
      </c>
      <c r="L671" s="1077">
        <f t="shared" si="53"/>
        <v>0</v>
      </c>
      <c r="M671" s="1091">
        <f>+H671/'Parametros Generales'!$C$8</f>
        <v>0</v>
      </c>
      <c r="N671" s="1098"/>
      <c r="O671" s="1098"/>
      <c r="P671" s="1098"/>
      <c r="Q671" s="1098"/>
      <c r="R671" s="1098">
        <f>+(M671/'Parametros Generales'!$C$9)</f>
        <v>0</v>
      </c>
      <c r="S671" s="395"/>
      <c r="T671" s="395"/>
      <c r="U671" s="395"/>
      <c r="V671" s="396"/>
      <c r="W671" s="376">
        <f>+R671*'Componentes T.H.'!$Q$9*'Parametros Generales'!$C$6</f>
        <v>0</v>
      </c>
      <c r="X671" s="376">
        <f>(+VLOOKUP(C671,'Transporte y Viaticos'!$B$87:$L$120,2,0)*'Parametros Generales'!$C$7*R671)*(2/3)</f>
        <v>0</v>
      </c>
      <c r="Y671" s="417"/>
      <c r="Z671" s="417"/>
      <c r="AA671" s="417"/>
      <c r="AB671" s="417">
        <f>+M671*'Parametros Generales'!$C$6*'Parametros Generales'!$J$9</f>
        <v>0</v>
      </c>
      <c r="AC671" s="417">
        <f>+H671*'Parametros Generales'!$J$10*'Parametros Generales'!$C$6*'Parametros Generales'!$C$11</f>
        <v>0</v>
      </c>
      <c r="AD671" s="417"/>
      <c r="AE671" s="417"/>
      <c r="AF671" s="417"/>
      <c r="AG671" s="417"/>
      <c r="AH671" s="417"/>
      <c r="AI671" s="417"/>
      <c r="AJ671" s="417"/>
      <c r="AK671" s="436"/>
      <c r="AL671" s="822"/>
    </row>
    <row r="672" spans="1:38" s="33" customFormat="1" hidden="1" outlineLevel="1">
      <c r="A672" s="1150"/>
      <c r="B672" s="823">
        <f t="shared" si="54"/>
        <v>44</v>
      </c>
      <c r="C672" s="373" t="str">
        <f t="shared" si="55"/>
        <v>LA GUAJIRA</v>
      </c>
      <c r="D672" s="374"/>
      <c r="E672" s="1113"/>
      <c r="F672" s="1104"/>
      <c r="G672" s="375"/>
      <c r="H672" s="1062"/>
      <c r="I672" s="1057"/>
      <c r="J672" s="1058"/>
      <c r="K672" s="1070" t="str">
        <f t="shared" si="52"/>
        <v>Ok</v>
      </c>
      <c r="L672" s="1077">
        <f t="shared" si="53"/>
        <v>0</v>
      </c>
      <c r="M672" s="1091">
        <f>+H672/'Parametros Generales'!$C$8</f>
        <v>0</v>
      </c>
      <c r="N672" s="1098"/>
      <c r="O672" s="1098"/>
      <c r="P672" s="1098"/>
      <c r="Q672" s="1098"/>
      <c r="R672" s="1098">
        <f>+(M672/'Parametros Generales'!$C$9)</f>
        <v>0</v>
      </c>
      <c r="S672" s="395"/>
      <c r="T672" s="395"/>
      <c r="U672" s="395"/>
      <c r="V672" s="396"/>
      <c r="W672" s="376">
        <f>+R672*'Componentes T.H.'!$Q$9*'Parametros Generales'!$C$6</f>
        <v>0</v>
      </c>
      <c r="X672" s="376">
        <f>(+VLOOKUP(C672,'Transporte y Viaticos'!$B$87:$L$120,2,0)*'Parametros Generales'!$C$7*R672)*(2/3)</f>
        <v>0</v>
      </c>
      <c r="Y672" s="417"/>
      <c r="Z672" s="417"/>
      <c r="AA672" s="417"/>
      <c r="AB672" s="417">
        <f>+M672*'Parametros Generales'!$C$6*'Parametros Generales'!$J$9</f>
        <v>0</v>
      </c>
      <c r="AC672" s="417">
        <f>+H672*'Parametros Generales'!$J$10*'Parametros Generales'!$C$6*'Parametros Generales'!$C$11</f>
        <v>0</v>
      </c>
      <c r="AD672" s="417"/>
      <c r="AE672" s="417"/>
      <c r="AF672" s="417"/>
      <c r="AG672" s="417"/>
      <c r="AH672" s="417"/>
      <c r="AI672" s="417"/>
      <c r="AJ672" s="417"/>
      <c r="AK672" s="436"/>
      <c r="AL672" s="822"/>
    </row>
    <row r="673" spans="1:38" s="33" customFormat="1" hidden="1" outlineLevel="1">
      <c r="A673" s="1150"/>
      <c r="B673" s="823">
        <f t="shared" si="54"/>
        <v>44</v>
      </c>
      <c r="C673" s="373" t="str">
        <f t="shared" si="55"/>
        <v>LA GUAJIRA</v>
      </c>
      <c r="D673" s="374"/>
      <c r="E673" s="1113"/>
      <c r="F673" s="1104"/>
      <c r="G673" s="375"/>
      <c r="H673" s="1062"/>
      <c r="I673" s="1057"/>
      <c r="J673" s="1058"/>
      <c r="K673" s="1070" t="str">
        <f t="shared" si="52"/>
        <v>Ok</v>
      </c>
      <c r="L673" s="1077">
        <f t="shared" si="53"/>
        <v>0</v>
      </c>
      <c r="M673" s="1091">
        <f>+H673/'Parametros Generales'!$C$8</f>
        <v>0</v>
      </c>
      <c r="N673" s="1098"/>
      <c r="O673" s="1098"/>
      <c r="P673" s="1098"/>
      <c r="Q673" s="1098"/>
      <c r="R673" s="1098">
        <f>+(M673/'Parametros Generales'!$C$9)</f>
        <v>0</v>
      </c>
      <c r="S673" s="395"/>
      <c r="T673" s="395"/>
      <c r="U673" s="395"/>
      <c r="V673" s="396"/>
      <c r="W673" s="376">
        <f>+R673*'Componentes T.H.'!$Q$9*'Parametros Generales'!$C$6</f>
        <v>0</v>
      </c>
      <c r="X673" s="376">
        <f>(+VLOOKUP(C673,'Transporte y Viaticos'!$B$87:$L$120,2,0)*'Parametros Generales'!$C$7*R673)*(2/3)</f>
        <v>0</v>
      </c>
      <c r="Y673" s="417"/>
      <c r="Z673" s="417"/>
      <c r="AA673" s="417"/>
      <c r="AB673" s="417">
        <f>+M673*'Parametros Generales'!$C$6*'Parametros Generales'!$J$9</f>
        <v>0</v>
      </c>
      <c r="AC673" s="417">
        <f>+H673*'Parametros Generales'!$J$10*'Parametros Generales'!$C$6*'Parametros Generales'!$C$11</f>
        <v>0</v>
      </c>
      <c r="AD673" s="417"/>
      <c r="AE673" s="417"/>
      <c r="AF673" s="417"/>
      <c r="AG673" s="417"/>
      <c r="AH673" s="417"/>
      <c r="AI673" s="417"/>
      <c r="AJ673" s="417"/>
      <c r="AK673" s="436"/>
      <c r="AL673" s="822"/>
    </row>
    <row r="674" spans="1:38" s="33" customFormat="1" hidden="1" outlineLevel="1">
      <c r="A674" s="1150"/>
      <c r="B674" s="823">
        <f t="shared" si="54"/>
        <v>44</v>
      </c>
      <c r="C674" s="373" t="str">
        <f t="shared" si="55"/>
        <v>LA GUAJIRA</v>
      </c>
      <c r="D674" s="374"/>
      <c r="E674" s="1113"/>
      <c r="F674" s="1104"/>
      <c r="G674" s="375"/>
      <c r="H674" s="1062"/>
      <c r="I674" s="1057"/>
      <c r="J674" s="1058"/>
      <c r="K674" s="1070" t="str">
        <f t="shared" si="52"/>
        <v>Ok</v>
      </c>
      <c r="L674" s="1077">
        <f t="shared" si="53"/>
        <v>0</v>
      </c>
      <c r="M674" s="1091">
        <f>+H674/'Parametros Generales'!$C$8</f>
        <v>0</v>
      </c>
      <c r="N674" s="1098"/>
      <c r="O674" s="1098"/>
      <c r="P674" s="1098"/>
      <c r="Q674" s="1098"/>
      <c r="R674" s="1098">
        <f>+(M674/'Parametros Generales'!$C$9)</f>
        <v>0</v>
      </c>
      <c r="S674" s="395"/>
      <c r="T674" s="395"/>
      <c r="U674" s="395"/>
      <c r="V674" s="396"/>
      <c r="W674" s="376">
        <f>+R674*'Componentes T.H.'!$Q$9*'Parametros Generales'!$C$6</f>
        <v>0</v>
      </c>
      <c r="X674" s="376">
        <f>(+VLOOKUP(C674,'Transporte y Viaticos'!$B$87:$L$120,2,0)*'Parametros Generales'!$C$7*R674)*(2/3)</f>
        <v>0</v>
      </c>
      <c r="Y674" s="417"/>
      <c r="Z674" s="417"/>
      <c r="AA674" s="417"/>
      <c r="AB674" s="417">
        <f>+M674*'Parametros Generales'!$C$6*'Parametros Generales'!$J$9</f>
        <v>0</v>
      </c>
      <c r="AC674" s="417">
        <f>+H674*'Parametros Generales'!$J$10*'Parametros Generales'!$C$6*'Parametros Generales'!$C$11</f>
        <v>0</v>
      </c>
      <c r="AD674" s="417"/>
      <c r="AE674" s="417"/>
      <c r="AF674" s="417"/>
      <c r="AG674" s="417"/>
      <c r="AH674" s="417"/>
      <c r="AI674" s="417"/>
      <c r="AJ674" s="417"/>
      <c r="AK674" s="436"/>
      <c r="AL674" s="822"/>
    </row>
    <row r="675" spans="1:38" s="33" customFormat="1" hidden="1" outlineLevel="1">
      <c r="A675" s="1150"/>
      <c r="B675" s="823">
        <f t="shared" si="54"/>
        <v>44</v>
      </c>
      <c r="C675" s="373" t="str">
        <f t="shared" si="55"/>
        <v>LA GUAJIRA</v>
      </c>
      <c r="D675" s="374"/>
      <c r="E675" s="1113"/>
      <c r="F675" s="1104"/>
      <c r="G675" s="375"/>
      <c r="H675" s="1062"/>
      <c r="I675" s="1057"/>
      <c r="J675" s="1058"/>
      <c r="K675" s="1070" t="str">
        <f t="shared" si="52"/>
        <v>Ok</v>
      </c>
      <c r="L675" s="1077">
        <f t="shared" si="53"/>
        <v>0</v>
      </c>
      <c r="M675" s="1091">
        <f>+H675/'Parametros Generales'!$C$8</f>
        <v>0</v>
      </c>
      <c r="N675" s="1098"/>
      <c r="O675" s="1098"/>
      <c r="P675" s="1098"/>
      <c r="Q675" s="1098"/>
      <c r="R675" s="1098">
        <f>+(M675/'Parametros Generales'!$C$9)</f>
        <v>0</v>
      </c>
      <c r="S675" s="395"/>
      <c r="T675" s="395"/>
      <c r="U675" s="395"/>
      <c r="V675" s="396"/>
      <c r="W675" s="376">
        <f>+R675*'Componentes T.H.'!$Q$9*'Parametros Generales'!$C$6</f>
        <v>0</v>
      </c>
      <c r="X675" s="376">
        <f>(+VLOOKUP(C675,'Transporte y Viaticos'!$B$87:$L$120,2,0)*'Parametros Generales'!$C$7*R675)*(2/3)</f>
        <v>0</v>
      </c>
      <c r="Y675" s="417"/>
      <c r="Z675" s="417"/>
      <c r="AA675" s="417"/>
      <c r="AB675" s="417">
        <f>+M675*'Parametros Generales'!$C$6*'Parametros Generales'!$J$9</f>
        <v>0</v>
      </c>
      <c r="AC675" s="417">
        <f>+H675*'Parametros Generales'!$J$10*'Parametros Generales'!$C$6*'Parametros Generales'!$C$11</f>
        <v>0</v>
      </c>
      <c r="AD675" s="417"/>
      <c r="AE675" s="417"/>
      <c r="AF675" s="417"/>
      <c r="AG675" s="417"/>
      <c r="AH675" s="417"/>
      <c r="AI675" s="417"/>
      <c r="AJ675" s="417"/>
      <c r="AK675" s="436"/>
      <c r="AL675" s="822"/>
    </row>
    <row r="676" spans="1:38" s="33" customFormat="1" hidden="1" outlineLevel="1">
      <c r="A676" s="1150"/>
      <c r="B676" s="823">
        <f t="shared" si="54"/>
        <v>44</v>
      </c>
      <c r="C676" s="373" t="str">
        <f t="shared" si="55"/>
        <v>LA GUAJIRA</v>
      </c>
      <c r="D676" s="374"/>
      <c r="E676" s="1113"/>
      <c r="F676" s="1104"/>
      <c r="G676" s="375"/>
      <c r="H676" s="1062"/>
      <c r="I676" s="1057"/>
      <c r="J676" s="1058"/>
      <c r="K676" s="1070" t="str">
        <f t="shared" si="52"/>
        <v>Ok</v>
      </c>
      <c r="L676" s="1077">
        <f t="shared" si="53"/>
        <v>0</v>
      </c>
      <c r="M676" s="1091">
        <f>+H676/'Parametros Generales'!$C$8</f>
        <v>0</v>
      </c>
      <c r="N676" s="1098"/>
      <c r="O676" s="1098"/>
      <c r="P676" s="1098"/>
      <c r="Q676" s="1098"/>
      <c r="R676" s="1098">
        <f>+(M676/'Parametros Generales'!$C$9)</f>
        <v>0</v>
      </c>
      <c r="S676" s="395"/>
      <c r="T676" s="395"/>
      <c r="U676" s="395"/>
      <c r="V676" s="396"/>
      <c r="W676" s="376">
        <f>+R676*'Componentes T.H.'!$Q$9*'Parametros Generales'!$C$6</f>
        <v>0</v>
      </c>
      <c r="X676" s="376">
        <f>(+VLOOKUP(C676,'Transporte y Viaticos'!$B$87:$L$120,2,0)*'Parametros Generales'!$C$7*R676)*(2/3)</f>
        <v>0</v>
      </c>
      <c r="Y676" s="417"/>
      <c r="Z676" s="417"/>
      <c r="AA676" s="417"/>
      <c r="AB676" s="417">
        <f>+M676*'Parametros Generales'!$C$6*'Parametros Generales'!$J$9</f>
        <v>0</v>
      </c>
      <c r="AC676" s="417">
        <f>+H676*'Parametros Generales'!$J$10*'Parametros Generales'!$C$6*'Parametros Generales'!$C$11</f>
        <v>0</v>
      </c>
      <c r="AD676" s="417"/>
      <c r="AE676" s="417"/>
      <c r="AF676" s="417"/>
      <c r="AG676" s="417"/>
      <c r="AH676" s="417"/>
      <c r="AI676" s="417"/>
      <c r="AJ676" s="417"/>
      <c r="AK676" s="436"/>
      <c r="AL676" s="822"/>
    </row>
    <row r="677" spans="1:38" s="33" customFormat="1" hidden="1" outlineLevel="1">
      <c r="A677" s="1150"/>
      <c r="B677" s="823">
        <f t="shared" si="54"/>
        <v>44</v>
      </c>
      <c r="C677" s="373" t="str">
        <f t="shared" si="55"/>
        <v>LA GUAJIRA</v>
      </c>
      <c r="D677" s="374"/>
      <c r="E677" s="1113"/>
      <c r="F677" s="1104"/>
      <c r="G677" s="375"/>
      <c r="H677" s="1062"/>
      <c r="I677" s="1057"/>
      <c r="J677" s="1058"/>
      <c r="K677" s="1070" t="str">
        <f t="shared" si="52"/>
        <v>Ok</v>
      </c>
      <c r="L677" s="1077">
        <f t="shared" si="53"/>
        <v>0</v>
      </c>
      <c r="M677" s="1091">
        <f>+H677/'Parametros Generales'!$C$8</f>
        <v>0</v>
      </c>
      <c r="N677" s="1098"/>
      <c r="O677" s="1098"/>
      <c r="P677" s="1098"/>
      <c r="Q677" s="1098"/>
      <c r="R677" s="1098">
        <f>+(M677/'Parametros Generales'!$C$9)</f>
        <v>0</v>
      </c>
      <c r="S677" s="395"/>
      <c r="T677" s="395"/>
      <c r="U677" s="395"/>
      <c r="V677" s="396"/>
      <c r="W677" s="376">
        <f>+R677*'Componentes T.H.'!$Q$9*'Parametros Generales'!$C$6</f>
        <v>0</v>
      </c>
      <c r="X677" s="376">
        <f>(+VLOOKUP(C677,'Transporte y Viaticos'!$B$87:$L$120,2,0)*'Parametros Generales'!$C$7*R677)*(2/3)</f>
        <v>0</v>
      </c>
      <c r="Y677" s="417"/>
      <c r="Z677" s="417"/>
      <c r="AA677" s="417"/>
      <c r="AB677" s="417">
        <f>+M677*'Parametros Generales'!$C$6*'Parametros Generales'!$J$9</f>
        <v>0</v>
      </c>
      <c r="AC677" s="417">
        <f>+H677*'Parametros Generales'!$J$10*'Parametros Generales'!$C$6*'Parametros Generales'!$C$11</f>
        <v>0</v>
      </c>
      <c r="AD677" s="417"/>
      <c r="AE677" s="417"/>
      <c r="AF677" s="417"/>
      <c r="AG677" s="417"/>
      <c r="AH677" s="417"/>
      <c r="AI677" s="417"/>
      <c r="AJ677" s="417"/>
      <c r="AK677" s="436"/>
      <c r="AL677" s="822"/>
    </row>
    <row r="678" spans="1:38" s="33" customFormat="1" hidden="1" outlineLevel="1">
      <c r="A678" s="1150"/>
      <c r="B678" s="823">
        <f t="shared" si="54"/>
        <v>44</v>
      </c>
      <c r="C678" s="373" t="str">
        <f t="shared" si="55"/>
        <v>LA GUAJIRA</v>
      </c>
      <c r="D678" s="374"/>
      <c r="E678" s="1113"/>
      <c r="F678" s="1104"/>
      <c r="G678" s="375"/>
      <c r="H678" s="1062"/>
      <c r="I678" s="1057"/>
      <c r="J678" s="1058"/>
      <c r="K678" s="1070" t="str">
        <f t="shared" si="52"/>
        <v>Ok</v>
      </c>
      <c r="L678" s="1077">
        <f t="shared" si="53"/>
        <v>0</v>
      </c>
      <c r="M678" s="1091">
        <f>+H678/'Parametros Generales'!$C$8</f>
        <v>0</v>
      </c>
      <c r="N678" s="1098"/>
      <c r="O678" s="1098"/>
      <c r="P678" s="1098"/>
      <c r="Q678" s="1098"/>
      <c r="R678" s="1098">
        <f>+(M678/'Parametros Generales'!$C$9)</f>
        <v>0</v>
      </c>
      <c r="S678" s="395"/>
      <c r="T678" s="395"/>
      <c r="U678" s="395"/>
      <c r="V678" s="396"/>
      <c r="W678" s="376">
        <f>+R678*'Componentes T.H.'!$Q$9*'Parametros Generales'!$C$6</f>
        <v>0</v>
      </c>
      <c r="X678" s="376">
        <f>(+VLOOKUP(C678,'Transporte y Viaticos'!$B$87:$L$120,2,0)*'Parametros Generales'!$C$7*R678)*(2/3)</f>
        <v>0</v>
      </c>
      <c r="Y678" s="417"/>
      <c r="Z678" s="417"/>
      <c r="AA678" s="417"/>
      <c r="AB678" s="417">
        <f>+M678*'Parametros Generales'!$C$6*'Parametros Generales'!$J$9</f>
        <v>0</v>
      </c>
      <c r="AC678" s="417">
        <f>+H678*'Parametros Generales'!$J$10*'Parametros Generales'!$C$6*'Parametros Generales'!$C$11</f>
        <v>0</v>
      </c>
      <c r="AD678" s="417"/>
      <c r="AE678" s="417"/>
      <c r="AF678" s="417"/>
      <c r="AG678" s="417"/>
      <c r="AH678" s="417"/>
      <c r="AI678" s="417"/>
      <c r="AJ678" s="417"/>
      <c r="AK678" s="436"/>
      <c r="AL678" s="822"/>
    </row>
    <row r="679" spans="1:38" s="392" customFormat="1" collapsed="1">
      <c r="A679" s="1151">
        <v>15</v>
      </c>
      <c r="B679" s="824">
        <v>47</v>
      </c>
      <c r="C679" s="385" t="s">
        <v>441</v>
      </c>
      <c r="D679" s="386"/>
      <c r="E679" s="1114" t="s">
        <v>441</v>
      </c>
      <c r="F679" s="1105">
        <f>SUM(F680:F709)</f>
        <v>30</v>
      </c>
      <c r="G679" s="388">
        <f>+SUM(G680:G709)</f>
        <v>9504</v>
      </c>
      <c r="H679" s="512">
        <f>+SUM(H680:H724)</f>
        <v>9600</v>
      </c>
      <c r="I679" s="1057" t="s">
        <v>441</v>
      </c>
      <c r="J679" s="1067">
        <v>9600</v>
      </c>
      <c r="K679" s="1069" t="str">
        <f t="shared" si="52"/>
        <v>Ok</v>
      </c>
      <c r="L679" s="1077">
        <f t="shared" si="53"/>
        <v>0</v>
      </c>
      <c r="M679" s="512">
        <f>+SUM(M680:M724)</f>
        <v>384</v>
      </c>
      <c r="N679" s="1073">
        <f>+VLOOKUP(H679,'Parametros Generales'!$B$14:$D$17,3,TRUE)</f>
        <v>1</v>
      </c>
      <c r="O679" s="1073">
        <f>+VLOOKUP(H679,'Parametros Generales'!$B$14:$D$17,3,TRUE)</f>
        <v>1</v>
      </c>
      <c r="P679" s="1073">
        <f>+VLOOKUP(H679,'Parametros Generales'!$B$14:$D$17,3,TRUE)</f>
        <v>1</v>
      </c>
      <c r="Q679" s="1073">
        <f>+R679/'Parametros Generales'!$C$10</f>
        <v>12</v>
      </c>
      <c r="R679" s="512">
        <f>+SUM(R680:R724)</f>
        <v>96</v>
      </c>
      <c r="S679" s="390">
        <f>+VLOOKUP(S$1,'Componentes T.H.'!$B$4:$R$22,'Componentes T.H.'!$Q$1,0)*'Parametros Generales'!$C$6*'Cost x Depart'!N679</f>
        <v>14656764.137666669</v>
      </c>
      <c r="T679" s="390">
        <f>+VLOOKUP(T$1,'Componentes T.H.'!$B$4:$R$22,'Componentes T.H.'!$Q$1,0)*'Parametros Generales'!$C$6*'Cost x Depart'!O679</f>
        <v>11043815.659</v>
      </c>
      <c r="U679" s="390">
        <f>+VLOOKUP(U$1,'Componentes T.H.'!$B$4:$R$22,'Componentes T.H.'!$Q$1,0)*'Parametros Generales'!$C$6*'Cost x Depart'!P679</f>
        <v>4890432</v>
      </c>
      <c r="V679" s="389">
        <f>+VLOOKUP(V$1,'Componentes T.H.'!$B$4:$R$22,'Componentes T.H.'!$Q$1,0)*'Parametros Generales'!$C$6*'Cost x Depart'!Q679</f>
        <v>119892570.412</v>
      </c>
      <c r="W679" s="512">
        <f>+SUM(W680:W724)</f>
        <v>481776678.81600022</v>
      </c>
      <c r="X679" s="512">
        <f>+SUM(X680:X724)</f>
        <v>74730091.664689079</v>
      </c>
      <c r="Y679" s="391">
        <f>+VLOOKUP(C680,'Transporte y Viaticos'!$B$87:$F$120,2,0)*((O679/'Parametros Generales'!$J$14)+(Q679/'Parametros Generales'!$J$15)+(R679/'Parametros Generales'!$J$16))*'Parametros Generales'!$C$6</f>
        <v>3561355.9308953392</v>
      </c>
      <c r="Z679" s="391">
        <f>+(N679+O679+Q679)*'Parametros Generales'!$C$6*'Parametros Generales'!$J$7</f>
        <v>2752680</v>
      </c>
      <c r="AA679" s="391">
        <f>+SUM(N679:R679)*'Parametros Generales'!$C$6*'Parametros Generales'!$J$8</f>
        <v>19924500</v>
      </c>
      <c r="AB679" s="512">
        <f>+SUM(AB680:AB724)</f>
        <v>186973090.90909097</v>
      </c>
      <c r="AC679" s="512">
        <f>+SUM(AC680:AC724)</f>
        <v>707447940.83527792</v>
      </c>
      <c r="AD679" s="391">
        <f>+'Parametros Generales'!$J$11*SUM(N679:R679)</f>
        <v>3734040</v>
      </c>
      <c r="AE679" s="436">
        <f>+SUM(S679:AD679)</f>
        <v>1631383960.3646202</v>
      </c>
      <c r="AF679" s="391">
        <f>+AE679*(SUM('Res de Costos Pais'!G117:G117))</f>
        <v>111749801.2849765</v>
      </c>
      <c r="AG679" s="391">
        <f>+AE679+AF679</f>
        <v>1743133761.6495967</v>
      </c>
      <c r="AH679" s="391">
        <f>+AG679*SUM('Res de Costos Pais'!$G$123:$G$124)</f>
        <v>16838672.137535103</v>
      </c>
      <c r="AI679" s="391">
        <f>+(AG679+AH679)*'Res de Costos Pais'!$G$136</f>
        <v>4751925.5712252557</v>
      </c>
      <c r="AJ679" s="391">
        <f>+(AG679+AH679+AI679)*'Res de Costos Pais'!$G$140</f>
        <v>7058897.4374334281</v>
      </c>
      <c r="AK679" s="391">
        <f>+AG679+AH679+AI679+AJ679</f>
        <v>1771783256.7957904</v>
      </c>
      <c r="AL679" s="820">
        <f>IF(ISERROR((+(AK679/H679)/'Parametros Generales'!$C$6)),0,(+(AK679/H679)/'Parametros Generales'!$C$6))</f>
        <v>36912.151183245631</v>
      </c>
    </row>
    <row r="680" spans="1:38" s="33" customFormat="1" hidden="1" outlineLevel="1">
      <c r="A680" s="1150"/>
      <c r="B680" s="819">
        <v>47</v>
      </c>
      <c r="C680" s="377" t="s">
        <v>441</v>
      </c>
      <c r="D680" s="378">
        <f>+VLOOKUP(E680,Codigos!$A$1:$B$1123,2,0)</f>
        <v>47001</v>
      </c>
      <c r="E680" s="1110" t="s">
        <v>2012</v>
      </c>
      <c r="F680" s="1102">
        <v>1</v>
      </c>
      <c r="G680" s="379">
        <v>1980</v>
      </c>
      <c r="H680" s="1060">
        <f>CEILING(G680,'Parametros Generales'!$C$8)</f>
        <v>2000</v>
      </c>
      <c r="I680" s="1057" t="s">
        <v>442</v>
      </c>
      <c r="J680" s="1058">
        <v>2000</v>
      </c>
      <c r="K680" s="1070" t="str">
        <f t="shared" si="52"/>
        <v>Ok</v>
      </c>
      <c r="L680" s="1077">
        <f t="shared" si="53"/>
        <v>0</v>
      </c>
      <c r="M680" s="1089">
        <f>+H680/'Parametros Generales'!$C$8</f>
        <v>80</v>
      </c>
      <c r="N680" s="1096"/>
      <c r="O680" s="1096"/>
      <c r="P680" s="1096"/>
      <c r="Q680" s="1096"/>
      <c r="R680" s="1096">
        <f>+(M680/'Parametros Generales'!$C$9)</f>
        <v>20</v>
      </c>
      <c r="S680" s="393"/>
      <c r="T680" s="393"/>
      <c r="U680" s="393"/>
      <c r="V680" s="394"/>
      <c r="W680" s="380">
        <f>+R680*'Componentes T.H.'!$Q$9*'Parametros Generales'!$C$6</f>
        <v>100370141.42000002</v>
      </c>
      <c r="X680" s="380">
        <f>(+VLOOKUP(C680,'Transporte y Viaticos'!$B$87:$L$120,2,0)*'Parametros Generales'!$C$7*R680)*(2/3)</f>
        <v>15568769.096810224</v>
      </c>
      <c r="Y680" s="417"/>
      <c r="Z680" s="417"/>
      <c r="AA680" s="417"/>
      <c r="AB680" s="417">
        <f>+M680*'Parametros Generales'!$C$6*'Parametros Generales'!$J$9</f>
        <v>38952727.272727281</v>
      </c>
      <c r="AC680" s="417">
        <f>+H680*'Parametros Generales'!$J$10*'Parametros Generales'!$C$6*'Parametros Generales'!$C$11</f>
        <v>147384987.67401627</v>
      </c>
      <c r="AD680" s="417"/>
      <c r="AE680" s="417"/>
      <c r="AF680" s="417"/>
      <c r="AG680" s="417"/>
      <c r="AH680" s="417"/>
      <c r="AI680" s="417"/>
      <c r="AJ680" s="417"/>
      <c r="AK680" s="436"/>
      <c r="AL680" s="822"/>
    </row>
    <row r="681" spans="1:38" s="33" customFormat="1" hidden="1" outlineLevel="1">
      <c r="A681" s="1150"/>
      <c r="B681" s="821">
        <v>47</v>
      </c>
      <c r="C681" s="371" t="s">
        <v>441</v>
      </c>
      <c r="D681" s="31">
        <f>+VLOOKUP(E681,Codigos!$A$1:$B$1123,2,0)</f>
        <v>47030</v>
      </c>
      <c r="E681" s="1111" t="s">
        <v>2013</v>
      </c>
      <c r="F681" s="1103">
        <v>1</v>
      </c>
      <c r="G681" s="30">
        <v>396</v>
      </c>
      <c r="H681" s="1061">
        <f>CEILING(G681,'Parametros Generales'!$C$8)</f>
        <v>400</v>
      </c>
      <c r="I681" s="1057" t="s">
        <v>443</v>
      </c>
      <c r="J681" s="1058">
        <v>400</v>
      </c>
      <c r="K681" s="1070" t="str">
        <f t="shared" si="52"/>
        <v>Ok</v>
      </c>
      <c r="L681" s="1077">
        <f t="shared" si="53"/>
        <v>0</v>
      </c>
      <c r="M681" s="1090">
        <f>+H681/'Parametros Generales'!$C$8</f>
        <v>16</v>
      </c>
      <c r="N681" s="1097"/>
      <c r="O681" s="1097"/>
      <c r="P681" s="1097"/>
      <c r="Q681" s="1097"/>
      <c r="R681" s="1097">
        <f>+(M681/'Parametros Generales'!$C$9)</f>
        <v>4</v>
      </c>
      <c r="S681" s="390"/>
      <c r="T681" s="390"/>
      <c r="U681" s="390"/>
      <c r="V681" s="389"/>
      <c r="W681" s="32">
        <f>+R681*'Componentes T.H.'!$Q$9*'Parametros Generales'!$C$6</f>
        <v>20074028.284000002</v>
      </c>
      <c r="X681" s="32">
        <f>(+VLOOKUP(C681,'Transporte y Viaticos'!$B$87:$L$120,2,0)*'Parametros Generales'!$C$7*R681)*(2/3)</f>
        <v>3113753.8193620448</v>
      </c>
      <c r="Y681" s="417"/>
      <c r="Z681" s="417"/>
      <c r="AA681" s="417"/>
      <c r="AB681" s="417">
        <f>+M681*'Parametros Generales'!$C$6*'Parametros Generales'!$J$9</f>
        <v>7790545.4545454569</v>
      </c>
      <c r="AC681" s="417">
        <f>+H681*'Parametros Generales'!$J$10*'Parametros Generales'!$C$6*'Parametros Generales'!$C$11</f>
        <v>29476997.534803249</v>
      </c>
      <c r="AD681" s="417"/>
      <c r="AE681" s="417"/>
      <c r="AF681" s="417"/>
      <c r="AG681" s="417"/>
      <c r="AH681" s="417"/>
      <c r="AI681" s="417"/>
      <c r="AJ681" s="417"/>
      <c r="AK681" s="436"/>
      <c r="AL681" s="822"/>
    </row>
    <row r="682" spans="1:38" s="33" customFormat="1" hidden="1" outlineLevel="1">
      <c r="A682" s="1150"/>
      <c r="B682" s="821">
        <v>47</v>
      </c>
      <c r="C682" s="371" t="s">
        <v>441</v>
      </c>
      <c r="D682" s="31">
        <f>+VLOOKUP(E682,Codigos!$A$1:$B$1123,2,0)</f>
        <v>47053</v>
      </c>
      <c r="E682" s="1111" t="s">
        <v>2014</v>
      </c>
      <c r="F682" s="1103">
        <v>1</v>
      </c>
      <c r="G682" s="30">
        <v>396</v>
      </c>
      <c r="H682" s="1061">
        <f>CEILING(G682,'Parametros Generales'!$C$8)</f>
        <v>400</v>
      </c>
      <c r="I682" s="1057" t="s">
        <v>444</v>
      </c>
      <c r="J682" s="1058">
        <v>400</v>
      </c>
      <c r="K682" s="1070" t="str">
        <f t="shared" si="52"/>
        <v>Ok</v>
      </c>
      <c r="L682" s="1076">
        <f t="shared" si="53"/>
        <v>0</v>
      </c>
      <c r="M682" s="1090">
        <f>+H682/'Parametros Generales'!$C$8</f>
        <v>16</v>
      </c>
      <c r="N682" s="1097"/>
      <c r="O682" s="1097"/>
      <c r="P682" s="1097"/>
      <c r="Q682" s="1097"/>
      <c r="R682" s="1097">
        <f>+(M682/'Parametros Generales'!$C$9)</f>
        <v>4</v>
      </c>
      <c r="S682" s="390"/>
      <c r="T682" s="390"/>
      <c r="U682" s="390"/>
      <c r="V682" s="389"/>
      <c r="W682" s="32">
        <f>+R682*'Componentes T.H.'!$Q$9*'Parametros Generales'!$C$6</f>
        <v>20074028.284000002</v>
      </c>
      <c r="X682" s="32">
        <f>(+VLOOKUP(C682,'Transporte y Viaticos'!$B$87:$L$120,2,0)*'Parametros Generales'!$C$7*R682)*(2/3)</f>
        <v>3113753.8193620448</v>
      </c>
      <c r="Y682" s="417"/>
      <c r="Z682" s="417"/>
      <c r="AA682" s="417"/>
      <c r="AB682" s="417">
        <f>+M682*'Parametros Generales'!$C$6*'Parametros Generales'!$J$9</f>
        <v>7790545.4545454569</v>
      </c>
      <c r="AC682" s="417">
        <f>+H682*'Parametros Generales'!$J$10*'Parametros Generales'!$C$6*'Parametros Generales'!$C$11</f>
        <v>29476997.534803249</v>
      </c>
      <c r="AD682" s="417"/>
      <c r="AE682" s="417"/>
      <c r="AF682" s="417"/>
      <c r="AG682" s="417"/>
      <c r="AH682" s="417"/>
      <c r="AI682" s="417"/>
      <c r="AJ682" s="417"/>
      <c r="AK682" s="436"/>
      <c r="AL682" s="822"/>
    </row>
    <row r="683" spans="1:38" s="33" customFormat="1" hidden="1" outlineLevel="1">
      <c r="A683" s="1150"/>
      <c r="B683" s="821">
        <v>47</v>
      </c>
      <c r="C683" s="371" t="s">
        <v>441</v>
      </c>
      <c r="D683" s="31">
        <f>+VLOOKUP(E683,Codigos!$A$1:$B$1123,2,0)</f>
        <v>47058</v>
      </c>
      <c r="E683" s="1111" t="s">
        <v>2015</v>
      </c>
      <c r="F683" s="1103">
        <v>1</v>
      </c>
      <c r="G683" s="30">
        <v>198</v>
      </c>
      <c r="H683" s="1061">
        <f>CEILING(G683,'Parametros Generales'!$C$8)</f>
        <v>200</v>
      </c>
      <c r="I683" s="1057" t="s">
        <v>445</v>
      </c>
      <c r="J683" s="1058">
        <v>200</v>
      </c>
      <c r="K683" s="1070" t="str">
        <f t="shared" si="52"/>
        <v>Ok</v>
      </c>
      <c r="L683" s="1077">
        <f t="shared" si="53"/>
        <v>0</v>
      </c>
      <c r="M683" s="1090">
        <f>+H683/'Parametros Generales'!$C$8</f>
        <v>8</v>
      </c>
      <c r="N683" s="1097"/>
      <c r="O683" s="1097"/>
      <c r="P683" s="1097"/>
      <c r="Q683" s="1097"/>
      <c r="R683" s="1097">
        <f>+(M683/'Parametros Generales'!$C$9)</f>
        <v>2</v>
      </c>
      <c r="S683" s="390"/>
      <c r="T683" s="390"/>
      <c r="U683" s="390"/>
      <c r="V683" s="389"/>
      <c r="W683" s="32">
        <f>+R683*'Componentes T.H.'!$Q$9*'Parametros Generales'!$C$6</f>
        <v>10037014.142000001</v>
      </c>
      <c r="X683" s="32">
        <f>(+VLOOKUP(C683,'Transporte y Viaticos'!$B$87:$L$120,2,0)*'Parametros Generales'!$C$7*R683)*(2/3)</f>
        <v>1556876.9096810224</v>
      </c>
      <c r="Y683" s="417"/>
      <c r="Z683" s="417"/>
      <c r="AA683" s="417"/>
      <c r="AB683" s="417">
        <f>+M683*'Parametros Generales'!$C$6*'Parametros Generales'!$J$9</f>
        <v>3895272.7272727285</v>
      </c>
      <c r="AC683" s="417">
        <f>+H683*'Parametros Generales'!$J$10*'Parametros Generales'!$C$6*'Parametros Generales'!$C$11</f>
        <v>14738498.767401624</v>
      </c>
      <c r="AD683" s="417"/>
      <c r="AE683" s="417"/>
      <c r="AF683" s="417"/>
      <c r="AG683" s="417"/>
      <c r="AH683" s="417"/>
      <c r="AI683" s="417"/>
      <c r="AJ683" s="417"/>
      <c r="AK683" s="436"/>
      <c r="AL683" s="822"/>
    </row>
    <row r="684" spans="1:38" s="33" customFormat="1" hidden="1" outlineLevel="1">
      <c r="A684" s="1150"/>
      <c r="B684" s="821">
        <v>47</v>
      </c>
      <c r="C684" s="371" t="s">
        <v>441</v>
      </c>
      <c r="D684" s="31">
        <f>+VLOOKUP(E684,Codigos!$A$1:$B$1123,2,0)</f>
        <v>47161</v>
      </c>
      <c r="E684" s="1111" t="s">
        <v>2016</v>
      </c>
      <c r="F684" s="1103">
        <v>1</v>
      </c>
      <c r="G684" s="30">
        <v>198</v>
      </c>
      <c r="H684" s="1061">
        <f>CEILING(G684,'Parametros Generales'!$C$8)</f>
        <v>200</v>
      </c>
      <c r="I684" s="1057" t="s">
        <v>446</v>
      </c>
      <c r="J684" s="1058">
        <v>200</v>
      </c>
      <c r="K684" s="1070" t="str">
        <f t="shared" si="52"/>
        <v>Ok</v>
      </c>
      <c r="L684" s="1077">
        <f t="shared" si="53"/>
        <v>0</v>
      </c>
      <c r="M684" s="1090">
        <f>+H684/'Parametros Generales'!$C$8</f>
        <v>8</v>
      </c>
      <c r="N684" s="1097"/>
      <c r="O684" s="1097"/>
      <c r="P684" s="1097"/>
      <c r="Q684" s="1097"/>
      <c r="R684" s="1097">
        <f>+(M684/'Parametros Generales'!$C$9)</f>
        <v>2</v>
      </c>
      <c r="S684" s="390"/>
      <c r="T684" s="390"/>
      <c r="U684" s="390"/>
      <c r="V684" s="389"/>
      <c r="W684" s="32">
        <f>+R684*'Componentes T.H.'!$Q$9*'Parametros Generales'!$C$6</f>
        <v>10037014.142000001</v>
      </c>
      <c r="X684" s="32">
        <f>(+VLOOKUP(C684,'Transporte y Viaticos'!$B$87:$L$120,2,0)*'Parametros Generales'!$C$7*R684)*(2/3)</f>
        <v>1556876.9096810224</v>
      </c>
      <c r="Y684" s="417"/>
      <c r="Z684" s="417"/>
      <c r="AA684" s="417"/>
      <c r="AB684" s="417">
        <f>+M684*'Parametros Generales'!$C$6*'Parametros Generales'!$J$9</f>
        <v>3895272.7272727285</v>
      </c>
      <c r="AC684" s="417">
        <f>+H684*'Parametros Generales'!$J$10*'Parametros Generales'!$C$6*'Parametros Generales'!$C$11</f>
        <v>14738498.767401624</v>
      </c>
      <c r="AD684" s="417"/>
      <c r="AE684" s="417"/>
      <c r="AF684" s="417"/>
      <c r="AG684" s="417"/>
      <c r="AH684" s="417"/>
      <c r="AI684" s="417"/>
      <c r="AJ684" s="417"/>
      <c r="AK684" s="436"/>
      <c r="AL684" s="822"/>
    </row>
    <row r="685" spans="1:38" s="33" customFormat="1" hidden="1" outlineLevel="1">
      <c r="A685" s="1150"/>
      <c r="B685" s="821">
        <v>47</v>
      </c>
      <c r="C685" s="371" t="s">
        <v>441</v>
      </c>
      <c r="D685" s="31">
        <f>+VLOOKUP(E685,Codigos!$A$1:$B$1123,2,0)</f>
        <v>47170</v>
      </c>
      <c r="E685" s="1111" t="s">
        <v>2017</v>
      </c>
      <c r="F685" s="1103">
        <v>1</v>
      </c>
      <c r="G685" s="30">
        <v>396</v>
      </c>
      <c r="H685" s="1061">
        <f>CEILING(G685,'Parametros Generales'!$C$8)</f>
        <v>400</v>
      </c>
      <c r="I685" s="1057" t="s">
        <v>447</v>
      </c>
      <c r="J685" s="1058">
        <v>400</v>
      </c>
      <c r="K685" s="1070" t="str">
        <f t="shared" si="52"/>
        <v>Ok</v>
      </c>
      <c r="L685" s="1077">
        <f t="shared" si="53"/>
        <v>0</v>
      </c>
      <c r="M685" s="1090">
        <f>+H685/'Parametros Generales'!$C$8</f>
        <v>16</v>
      </c>
      <c r="N685" s="1097"/>
      <c r="O685" s="1097"/>
      <c r="P685" s="1097"/>
      <c r="Q685" s="1097"/>
      <c r="R685" s="1097">
        <f>+(M685/'Parametros Generales'!$C$9)</f>
        <v>4</v>
      </c>
      <c r="S685" s="390"/>
      <c r="T685" s="390"/>
      <c r="U685" s="390"/>
      <c r="V685" s="389"/>
      <c r="W685" s="32">
        <f>+R685*'Componentes T.H.'!$Q$9*'Parametros Generales'!$C$6</f>
        <v>20074028.284000002</v>
      </c>
      <c r="X685" s="32">
        <f>(+VLOOKUP(C685,'Transporte y Viaticos'!$B$87:$L$120,2,0)*'Parametros Generales'!$C$7*R685)*(2/3)</f>
        <v>3113753.8193620448</v>
      </c>
      <c r="Y685" s="417"/>
      <c r="Z685" s="417"/>
      <c r="AA685" s="417"/>
      <c r="AB685" s="417">
        <f>+M685*'Parametros Generales'!$C$6*'Parametros Generales'!$J$9</f>
        <v>7790545.4545454569</v>
      </c>
      <c r="AC685" s="417">
        <f>+H685*'Parametros Generales'!$J$10*'Parametros Generales'!$C$6*'Parametros Generales'!$C$11</f>
        <v>29476997.534803249</v>
      </c>
      <c r="AD685" s="417"/>
      <c r="AE685" s="417"/>
      <c r="AF685" s="417"/>
      <c r="AG685" s="417"/>
      <c r="AH685" s="417"/>
      <c r="AI685" s="417"/>
      <c r="AJ685" s="417"/>
      <c r="AK685" s="436"/>
      <c r="AL685" s="822"/>
    </row>
    <row r="686" spans="1:38" s="33" customFormat="1" hidden="1" outlineLevel="1">
      <c r="A686" s="1150"/>
      <c r="B686" s="821">
        <v>47</v>
      </c>
      <c r="C686" s="371" t="s">
        <v>441</v>
      </c>
      <c r="D686" s="31">
        <f>+VLOOKUP(E686,Codigos!$A$1:$B$1123,2,0)</f>
        <v>47189</v>
      </c>
      <c r="E686" s="1111" t="s">
        <v>2018</v>
      </c>
      <c r="F686" s="1103">
        <v>1</v>
      </c>
      <c r="G686" s="30">
        <v>594</v>
      </c>
      <c r="H686" s="1061">
        <f>CEILING(G686,'Parametros Generales'!$C$8)</f>
        <v>600</v>
      </c>
      <c r="I686" s="1057" t="s">
        <v>448</v>
      </c>
      <c r="J686" s="1058">
        <v>600</v>
      </c>
      <c r="K686" s="1070" t="str">
        <f t="shared" si="52"/>
        <v>Ok</v>
      </c>
      <c r="L686" s="1077">
        <f t="shared" si="53"/>
        <v>0</v>
      </c>
      <c r="M686" s="1090">
        <f>+H686/'Parametros Generales'!$C$8</f>
        <v>24</v>
      </c>
      <c r="N686" s="1097"/>
      <c r="O686" s="1097"/>
      <c r="P686" s="1097"/>
      <c r="Q686" s="1097"/>
      <c r="R686" s="1097">
        <f>+(M686/'Parametros Generales'!$C$9)</f>
        <v>6</v>
      </c>
      <c r="S686" s="390"/>
      <c r="T686" s="390"/>
      <c r="U686" s="390"/>
      <c r="V686" s="389"/>
      <c r="W686" s="32">
        <f>+R686*'Componentes T.H.'!$Q$9*'Parametros Generales'!$C$6</f>
        <v>30111042.425999999</v>
      </c>
      <c r="X686" s="32">
        <f>(+VLOOKUP(C686,'Transporte y Viaticos'!$B$87:$L$120,2,0)*'Parametros Generales'!$C$7*R686)*(2/3)</f>
        <v>4670630.7290430674</v>
      </c>
      <c r="Y686" s="417"/>
      <c r="Z686" s="417"/>
      <c r="AA686" s="417"/>
      <c r="AB686" s="417">
        <f>+M686*'Parametros Generales'!$C$6*'Parametros Generales'!$J$9</f>
        <v>11685818.181818185</v>
      </c>
      <c r="AC686" s="417">
        <f>+H686*'Parametros Generales'!$J$10*'Parametros Generales'!$C$6*'Parametros Generales'!$C$11</f>
        <v>44215496.302204885</v>
      </c>
      <c r="AD686" s="417"/>
      <c r="AE686" s="417"/>
      <c r="AF686" s="417"/>
      <c r="AG686" s="417"/>
      <c r="AH686" s="417"/>
      <c r="AI686" s="417"/>
      <c r="AJ686" s="417"/>
      <c r="AK686" s="436"/>
      <c r="AL686" s="822"/>
    </row>
    <row r="687" spans="1:38" s="33" customFormat="1" hidden="1" outlineLevel="1">
      <c r="A687" s="1150"/>
      <c r="B687" s="821">
        <v>47</v>
      </c>
      <c r="C687" s="371" t="s">
        <v>441</v>
      </c>
      <c r="D687" s="31">
        <f>+VLOOKUP(E687,Codigos!$A$1:$B$1123,2,0)</f>
        <v>47205</v>
      </c>
      <c r="E687" s="1111" t="s">
        <v>2019</v>
      </c>
      <c r="F687" s="1103">
        <v>1</v>
      </c>
      <c r="G687" s="30">
        <v>198</v>
      </c>
      <c r="H687" s="1061">
        <f>CEILING(G687,'Parametros Generales'!$C$8)</f>
        <v>200</v>
      </c>
      <c r="I687" s="1057" t="s">
        <v>449</v>
      </c>
      <c r="J687" s="1058">
        <v>200</v>
      </c>
      <c r="K687" s="1070" t="str">
        <f t="shared" si="52"/>
        <v>Ok</v>
      </c>
      <c r="L687" s="1077">
        <f t="shared" si="53"/>
        <v>0</v>
      </c>
      <c r="M687" s="1090">
        <f>+H687/'Parametros Generales'!$C$8</f>
        <v>8</v>
      </c>
      <c r="N687" s="1097"/>
      <c r="O687" s="1097"/>
      <c r="P687" s="1097"/>
      <c r="Q687" s="1097"/>
      <c r="R687" s="1097">
        <f>+(M687/'Parametros Generales'!$C$9)</f>
        <v>2</v>
      </c>
      <c r="S687" s="390"/>
      <c r="T687" s="390"/>
      <c r="U687" s="390"/>
      <c r="V687" s="389"/>
      <c r="W687" s="32">
        <f>+R687*'Componentes T.H.'!$Q$9*'Parametros Generales'!$C$6</f>
        <v>10037014.142000001</v>
      </c>
      <c r="X687" s="32">
        <f>(+VLOOKUP(C687,'Transporte y Viaticos'!$B$87:$L$120,2,0)*'Parametros Generales'!$C$7*R687)*(2/3)</f>
        <v>1556876.9096810224</v>
      </c>
      <c r="Y687" s="417"/>
      <c r="Z687" s="417"/>
      <c r="AA687" s="417"/>
      <c r="AB687" s="417">
        <f>+M687*'Parametros Generales'!$C$6*'Parametros Generales'!$J$9</f>
        <v>3895272.7272727285</v>
      </c>
      <c r="AC687" s="417">
        <f>+H687*'Parametros Generales'!$J$10*'Parametros Generales'!$C$6*'Parametros Generales'!$C$11</f>
        <v>14738498.767401624</v>
      </c>
      <c r="AD687" s="417"/>
      <c r="AE687" s="417"/>
      <c r="AF687" s="417"/>
      <c r="AG687" s="417"/>
      <c r="AH687" s="417"/>
      <c r="AI687" s="417"/>
      <c r="AJ687" s="417"/>
      <c r="AK687" s="436"/>
      <c r="AL687" s="822"/>
    </row>
    <row r="688" spans="1:38" s="33" customFormat="1" hidden="1" outlineLevel="1">
      <c r="A688" s="1150"/>
      <c r="B688" s="821">
        <v>47</v>
      </c>
      <c r="C688" s="371" t="s">
        <v>441</v>
      </c>
      <c r="D688" s="31">
        <f>+VLOOKUP(E688,Codigos!$A$1:$B$1123,2,0)</f>
        <v>47245</v>
      </c>
      <c r="E688" s="1111" t="s">
        <v>2020</v>
      </c>
      <c r="F688" s="1103">
        <v>1</v>
      </c>
      <c r="G688" s="30">
        <v>198</v>
      </c>
      <c r="H688" s="1061">
        <f>CEILING(G688,'Parametros Generales'!$C$8)</f>
        <v>200</v>
      </c>
      <c r="I688" s="1057" t="s">
        <v>450</v>
      </c>
      <c r="J688" s="1058">
        <v>200</v>
      </c>
      <c r="K688" s="1070" t="str">
        <f t="shared" si="52"/>
        <v>Ok</v>
      </c>
      <c r="L688" s="1077">
        <f t="shared" si="53"/>
        <v>0</v>
      </c>
      <c r="M688" s="1090">
        <f>+H688/'Parametros Generales'!$C$8</f>
        <v>8</v>
      </c>
      <c r="N688" s="1097"/>
      <c r="O688" s="1097"/>
      <c r="P688" s="1097"/>
      <c r="Q688" s="1097"/>
      <c r="R688" s="1097">
        <f>+(M688/'Parametros Generales'!$C$9)</f>
        <v>2</v>
      </c>
      <c r="S688" s="390"/>
      <c r="T688" s="390"/>
      <c r="U688" s="390"/>
      <c r="V688" s="389"/>
      <c r="W688" s="32">
        <f>+R688*'Componentes T.H.'!$Q$9*'Parametros Generales'!$C$6</f>
        <v>10037014.142000001</v>
      </c>
      <c r="X688" s="32">
        <f>(+VLOOKUP(C688,'Transporte y Viaticos'!$B$87:$L$120,2,0)*'Parametros Generales'!$C$7*R688)*(2/3)</f>
        <v>1556876.9096810224</v>
      </c>
      <c r="Y688" s="417"/>
      <c r="Z688" s="417"/>
      <c r="AA688" s="417"/>
      <c r="AB688" s="417">
        <f>+M688*'Parametros Generales'!$C$6*'Parametros Generales'!$J$9</f>
        <v>3895272.7272727285</v>
      </c>
      <c r="AC688" s="417">
        <f>+H688*'Parametros Generales'!$J$10*'Parametros Generales'!$C$6*'Parametros Generales'!$C$11</f>
        <v>14738498.767401624</v>
      </c>
      <c r="AD688" s="417"/>
      <c r="AE688" s="417"/>
      <c r="AF688" s="417"/>
      <c r="AG688" s="417"/>
      <c r="AH688" s="417"/>
      <c r="AI688" s="417"/>
      <c r="AJ688" s="417"/>
      <c r="AK688" s="436"/>
      <c r="AL688" s="822"/>
    </row>
    <row r="689" spans="1:38" s="33" customFormat="1" hidden="1" outlineLevel="1">
      <c r="A689" s="1150"/>
      <c r="B689" s="821">
        <v>47</v>
      </c>
      <c r="C689" s="371" t="s">
        <v>441</v>
      </c>
      <c r="D689" s="31">
        <f>+VLOOKUP(E689,Codigos!$A$1:$B$1123,2,0)</f>
        <v>47258</v>
      </c>
      <c r="E689" s="1111" t="s">
        <v>2021</v>
      </c>
      <c r="F689" s="1103">
        <v>1</v>
      </c>
      <c r="G689" s="30">
        <v>198</v>
      </c>
      <c r="H689" s="1061">
        <f>CEILING(G689,'Parametros Generales'!$C$8)</f>
        <v>200</v>
      </c>
      <c r="I689" s="1057" t="s">
        <v>451</v>
      </c>
      <c r="J689" s="1058">
        <v>200</v>
      </c>
      <c r="K689" s="1070" t="str">
        <f t="shared" si="52"/>
        <v>Ok</v>
      </c>
      <c r="L689" s="1077">
        <f t="shared" si="53"/>
        <v>0</v>
      </c>
      <c r="M689" s="1090">
        <f>+H689/'Parametros Generales'!$C$8</f>
        <v>8</v>
      </c>
      <c r="N689" s="1097"/>
      <c r="O689" s="1097"/>
      <c r="P689" s="1097"/>
      <c r="Q689" s="1097"/>
      <c r="R689" s="1097">
        <f>+(M689/'Parametros Generales'!$C$9)</f>
        <v>2</v>
      </c>
      <c r="S689" s="390"/>
      <c r="T689" s="390"/>
      <c r="U689" s="390"/>
      <c r="V689" s="389"/>
      <c r="W689" s="32">
        <f>+R689*'Componentes T.H.'!$Q$9*'Parametros Generales'!$C$6</f>
        <v>10037014.142000001</v>
      </c>
      <c r="X689" s="32">
        <f>(+VLOOKUP(C689,'Transporte y Viaticos'!$B$87:$L$120,2,0)*'Parametros Generales'!$C$7*R689)*(2/3)</f>
        <v>1556876.9096810224</v>
      </c>
      <c r="Y689" s="417"/>
      <c r="Z689" s="417"/>
      <c r="AA689" s="417"/>
      <c r="AB689" s="417">
        <f>+M689*'Parametros Generales'!$C$6*'Parametros Generales'!$J$9</f>
        <v>3895272.7272727285</v>
      </c>
      <c r="AC689" s="417">
        <f>+H689*'Parametros Generales'!$J$10*'Parametros Generales'!$C$6*'Parametros Generales'!$C$11</f>
        <v>14738498.767401624</v>
      </c>
      <c r="AD689" s="417"/>
      <c r="AE689" s="417"/>
      <c r="AF689" s="417"/>
      <c r="AG689" s="417"/>
      <c r="AH689" s="417"/>
      <c r="AI689" s="417"/>
      <c r="AJ689" s="417"/>
      <c r="AK689" s="436"/>
      <c r="AL689" s="822"/>
    </row>
    <row r="690" spans="1:38" s="33" customFormat="1" hidden="1" outlineLevel="1">
      <c r="A690" s="1150"/>
      <c r="B690" s="821">
        <v>47</v>
      </c>
      <c r="C690" s="371" t="s">
        <v>441</v>
      </c>
      <c r="D690" s="31">
        <f>+VLOOKUP(E690,Codigos!$A$1:$B$1123,2,0)</f>
        <v>47268</v>
      </c>
      <c r="E690" s="1111" t="s">
        <v>2022</v>
      </c>
      <c r="F690" s="1103">
        <v>1</v>
      </c>
      <c r="G690" s="30">
        <v>198</v>
      </c>
      <c r="H690" s="1061">
        <f>CEILING(G690,'Parametros Generales'!$C$8)</f>
        <v>200</v>
      </c>
      <c r="I690" s="1057" t="s">
        <v>452</v>
      </c>
      <c r="J690" s="1058">
        <v>200</v>
      </c>
      <c r="K690" s="1070" t="str">
        <f t="shared" si="52"/>
        <v>Ok</v>
      </c>
      <c r="L690" s="1077">
        <f t="shared" si="53"/>
        <v>0</v>
      </c>
      <c r="M690" s="1090">
        <f>+H690/'Parametros Generales'!$C$8</f>
        <v>8</v>
      </c>
      <c r="N690" s="1097"/>
      <c r="O690" s="1097"/>
      <c r="P690" s="1097"/>
      <c r="Q690" s="1097"/>
      <c r="R690" s="1097">
        <f>+(M690/'Parametros Generales'!$C$9)</f>
        <v>2</v>
      </c>
      <c r="S690" s="390"/>
      <c r="T690" s="390"/>
      <c r="U690" s="390"/>
      <c r="V690" s="389"/>
      <c r="W690" s="32">
        <f>+R690*'Componentes T.H.'!$Q$9*'Parametros Generales'!$C$6</f>
        <v>10037014.142000001</v>
      </c>
      <c r="X690" s="32">
        <f>(+VLOOKUP(C690,'Transporte y Viaticos'!$B$87:$L$120,2,0)*'Parametros Generales'!$C$7*R690)*(2/3)</f>
        <v>1556876.9096810224</v>
      </c>
      <c r="Y690" s="417"/>
      <c r="Z690" s="417"/>
      <c r="AA690" s="417"/>
      <c r="AB690" s="417">
        <f>+M690*'Parametros Generales'!$C$6*'Parametros Generales'!$J$9</f>
        <v>3895272.7272727285</v>
      </c>
      <c r="AC690" s="417">
        <f>+H690*'Parametros Generales'!$J$10*'Parametros Generales'!$C$6*'Parametros Generales'!$C$11</f>
        <v>14738498.767401624</v>
      </c>
      <c r="AD690" s="417"/>
      <c r="AE690" s="417"/>
      <c r="AF690" s="417"/>
      <c r="AG690" s="417"/>
      <c r="AH690" s="417"/>
      <c r="AI690" s="417"/>
      <c r="AJ690" s="417"/>
      <c r="AK690" s="436"/>
      <c r="AL690" s="822"/>
    </row>
    <row r="691" spans="1:38" s="33" customFormat="1" hidden="1" outlineLevel="1">
      <c r="A691" s="1150"/>
      <c r="B691" s="821">
        <v>47</v>
      </c>
      <c r="C691" s="371" t="s">
        <v>441</v>
      </c>
      <c r="D691" s="31">
        <f>+VLOOKUP(E691,Codigos!$A$1:$B$1123,2,0)</f>
        <v>47288</v>
      </c>
      <c r="E691" s="1111" t="s">
        <v>2023</v>
      </c>
      <c r="F691" s="1103">
        <v>1</v>
      </c>
      <c r="G691" s="30">
        <v>396</v>
      </c>
      <c r="H691" s="1061">
        <f>CEILING(G691,'Parametros Generales'!$C$8)</f>
        <v>400</v>
      </c>
      <c r="I691" s="1057" t="s">
        <v>453</v>
      </c>
      <c r="J691" s="1058">
        <v>400</v>
      </c>
      <c r="K691" s="1070" t="str">
        <f t="shared" si="52"/>
        <v>Ok</v>
      </c>
      <c r="L691" s="1077">
        <f t="shared" si="53"/>
        <v>0</v>
      </c>
      <c r="M691" s="1090">
        <f>+H691/'Parametros Generales'!$C$8</f>
        <v>16</v>
      </c>
      <c r="N691" s="1097"/>
      <c r="O691" s="1097"/>
      <c r="P691" s="1097"/>
      <c r="Q691" s="1097"/>
      <c r="R691" s="1097">
        <f>+(M691/'Parametros Generales'!$C$9)</f>
        <v>4</v>
      </c>
      <c r="S691" s="390"/>
      <c r="T691" s="390"/>
      <c r="U691" s="390"/>
      <c r="V691" s="389"/>
      <c r="W691" s="32">
        <f>+R691*'Componentes T.H.'!$Q$9*'Parametros Generales'!$C$6</f>
        <v>20074028.284000002</v>
      </c>
      <c r="X691" s="32">
        <f>(+VLOOKUP(C691,'Transporte y Viaticos'!$B$87:$L$120,2,0)*'Parametros Generales'!$C$7*R691)*(2/3)</f>
        <v>3113753.8193620448</v>
      </c>
      <c r="Y691" s="417"/>
      <c r="Z691" s="417"/>
      <c r="AA691" s="417"/>
      <c r="AB691" s="417">
        <f>+M691*'Parametros Generales'!$C$6*'Parametros Generales'!$J$9</f>
        <v>7790545.4545454569</v>
      </c>
      <c r="AC691" s="417">
        <f>+H691*'Parametros Generales'!$J$10*'Parametros Generales'!$C$6*'Parametros Generales'!$C$11</f>
        <v>29476997.534803249</v>
      </c>
      <c r="AD691" s="417"/>
      <c r="AE691" s="417"/>
      <c r="AF691" s="417"/>
      <c r="AG691" s="417"/>
      <c r="AH691" s="417"/>
      <c r="AI691" s="417"/>
      <c r="AJ691" s="417"/>
      <c r="AK691" s="436"/>
      <c r="AL691" s="822"/>
    </row>
    <row r="692" spans="1:38" s="33" customFormat="1" hidden="1" outlineLevel="1">
      <c r="A692" s="1150"/>
      <c r="B692" s="821">
        <v>47</v>
      </c>
      <c r="C692" s="371" t="s">
        <v>441</v>
      </c>
      <c r="D692" s="31">
        <f>+VLOOKUP(E692,Codigos!$A$1:$B$1123,2,0)</f>
        <v>47318</v>
      </c>
      <c r="E692" s="1111" t="s">
        <v>2024</v>
      </c>
      <c r="F692" s="1103">
        <v>1</v>
      </c>
      <c r="G692" s="30">
        <v>198</v>
      </c>
      <c r="H692" s="1061">
        <f>CEILING(G692,'Parametros Generales'!$C$8)</f>
        <v>200</v>
      </c>
      <c r="I692" s="1057" t="s">
        <v>454</v>
      </c>
      <c r="J692" s="1058">
        <v>200</v>
      </c>
      <c r="K692" s="1070" t="str">
        <f t="shared" si="52"/>
        <v>Ok</v>
      </c>
      <c r="L692" s="1077">
        <f t="shared" si="53"/>
        <v>0</v>
      </c>
      <c r="M692" s="1090">
        <f>+H692/'Parametros Generales'!$C$8</f>
        <v>8</v>
      </c>
      <c r="N692" s="1097"/>
      <c r="O692" s="1097"/>
      <c r="P692" s="1097"/>
      <c r="Q692" s="1097"/>
      <c r="R692" s="1097">
        <f>+(M692/'Parametros Generales'!$C$9)</f>
        <v>2</v>
      </c>
      <c r="S692" s="390"/>
      <c r="T692" s="390"/>
      <c r="U692" s="390"/>
      <c r="V692" s="389"/>
      <c r="W692" s="32">
        <f>+R692*'Componentes T.H.'!$Q$9*'Parametros Generales'!$C$6</f>
        <v>10037014.142000001</v>
      </c>
      <c r="X692" s="32">
        <f>(+VLOOKUP(C692,'Transporte y Viaticos'!$B$87:$L$120,2,0)*'Parametros Generales'!$C$7*R692)*(2/3)</f>
        <v>1556876.9096810224</v>
      </c>
      <c r="Y692" s="417"/>
      <c r="Z692" s="417"/>
      <c r="AA692" s="417"/>
      <c r="AB692" s="417">
        <f>+M692*'Parametros Generales'!$C$6*'Parametros Generales'!$J$9</f>
        <v>3895272.7272727285</v>
      </c>
      <c r="AC692" s="417">
        <f>+H692*'Parametros Generales'!$J$10*'Parametros Generales'!$C$6*'Parametros Generales'!$C$11</f>
        <v>14738498.767401624</v>
      </c>
      <c r="AD692" s="417"/>
      <c r="AE692" s="417"/>
      <c r="AF692" s="417"/>
      <c r="AG692" s="417"/>
      <c r="AH692" s="417"/>
      <c r="AI692" s="417"/>
      <c r="AJ692" s="417"/>
      <c r="AK692" s="436"/>
      <c r="AL692" s="822"/>
    </row>
    <row r="693" spans="1:38" s="33" customFormat="1" hidden="1" outlineLevel="1">
      <c r="A693" s="1150"/>
      <c r="B693" s="821">
        <v>47</v>
      </c>
      <c r="C693" s="371" t="s">
        <v>441</v>
      </c>
      <c r="D693" s="31">
        <f>+VLOOKUP(E693,Codigos!$A$1:$B$1123,2,0)</f>
        <v>47460</v>
      </c>
      <c r="E693" s="1111" t="s">
        <v>2025</v>
      </c>
      <c r="F693" s="1103">
        <v>1</v>
      </c>
      <c r="G693" s="30">
        <v>198</v>
      </c>
      <c r="H693" s="1061">
        <f>CEILING(G693,'Parametros Generales'!$C$8)</f>
        <v>200</v>
      </c>
      <c r="I693" s="1057" t="s">
        <v>455</v>
      </c>
      <c r="J693" s="1058">
        <v>200</v>
      </c>
      <c r="K693" s="1070" t="str">
        <f t="shared" si="52"/>
        <v>Ok</v>
      </c>
      <c r="L693" s="1077">
        <f t="shared" si="53"/>
        <v>0</v>
      </c>
      <c r="M693" s="1090">
        <f>+H693/'Parametros Generales'!$C$8</f>
        <v>8</v>
      </c>
      <c r="N693" s="1097"/>
      <c r="O693" s="1097"/>
      <c r="P693" s="1097"/>
      <c r="Q693" s="1097"/>
      <c r="R693" s="1097">
        <f>+(M693/'Parametros Generales'!$C$9)</f>
        <v>2</v>
      </c>
      <c r="S693" s="390"/>
      <c r="T693" s="390"/>
      <c r="U693" s="390"/>
      <c r="V693" s="389"/>
      <c r="W693" s="32">
        <f>+R693*'Componentes T.H.'!$Q$9*'Parametros Generales'!$C$6</f>
        <v>10037014.142000001</v>
      </c>
      <c r="X693" s="32">
        <f>(+VLOOKUP(C693,'Transporte y Viaticos'!$B$87:$L$120,2,0)*'Parametros Generales'!$C$7*R693)*(2/3)</f>
        <v>1556876.9096810224</v>
      </c>
      <c r="Y693" s="417"/>
      <c r="Z693" s="417"/>
      <c r="AA693" s="417"/>
      <c r="AB693" s="417">
        <f>+M693*'Parametros Generales'!$C$6*'Parametros Generales'!$J$9</f>
        <v>3895272.7272727285</v>
      </c>
      <c r="AC693" s="417">
        <f>+H693*'Parametros Generales'!$J$10*'Parametros Generales'!$C$6*'Parametros Generales'!$C$11</f>
        <v>14738498.767401624</v>
      </c>
      <c r="AD693" s="417"/>
      <c r="AE693" s="417"/>
      <c r="AF693" s="417"/>
      <c r="AG693" s="417"/>
      <c r="AH693" s="417"/>
      <c r="AI693" s="417"/>
      <c r="AJ693" s="417"/>
      <c r="AK693" s="436"/>
      <c r="AL693" s="822"/>
    </row>
    <row r="694" spans="1:38" s="33" customFormat="1" hidden="1" outlineLevel="1">
      <c r="A694" s="1150"/>
      <c r="B694" s="821">
        <v>47</v>
      </c>
      <c r="C694" s="371" t="s">
        <v>441</v>
      </c>
      <c r="D694" s="31">
        <f>+VLOOKUP(E694,Codigos!$A$1:$B$1123,2,0)</f>
        <v>47541</v>
      </c>
      <c r="E694" s="1111" t="s">
        <v>2026</v>
      </c>
      <c r="F694" s="1103">
        <v>1</v>
      </c>
      <c r="G694" s="30">
        <v>198</v>
      </c>
      <c r="H694" s="1061">
        <f>CEILING(G694,'Parametros Generales'!$C$8)</f>
        <v>200</v>
      </c>
      <c r="I694" s="1057" t="s">
        <v>456</v>
      </c>
      <c r="J694" s="1058">
        <v>200</v>
      </c>
      <c r="K694" s="1070" t="str">
        <f t="shared" si="52"/>
        <v>Ok</v>
      </c>
      <c r="L694" s="1077">
        <f t="shared" si="53"/>
        <v>0</v>
      </c>
      <c r="M694" s="1090">
        <f>+H694/'Parametros Generales'!$C$8</f>
        <v>8</v>
      </c>
      <c r="N694" s="1097"/>
      <c r="O694" s="1097"/>
      <c r="P694" s="1097"/>
      <c r="Q694" s="1097"/>
      <c r="R694" s="1097">
        <f>+(M694/'Parametros Generales'!$C$9)</f>
        <v>2</v>
      </c>
      <c r="S694" s="390"/>
      <c r="T694" s="390"/>
      <c r="U694" s="390"/>
      <c r="V694" s="389"/>
      <c r="W694" s="32">
        <f>+R694*'Componentes T.H.'!$Q$9*'Parametros Generales'!$C$6</f>
        <v>10037014.142000001</v>
      </c>
      <c r="X694" s="32">
        <f>(+VLOOKUP(C694,'Transporte y Viaticos'!$B$87:$L$120,2,0)*'Parametros Generales'!$C$7*R694)*(2/3)</f>
        <v>1556876.9096810224</v>
      </c>
      <c r="Y694" s="417"/>
      <c r="Z694" s="417"/>
      <c r="AA694" s="417"/>
      <c r="AB694" s="417">
        <f>+M694*'Parametros Generales'!$C$6*'Parametros Generales'!$J$9</f>
        <v>3895272.7272727285</v>
      </c>
      <c r="AC694" s="417">
        <f>+H694*'Parametros Generales'!$J$10*'Parametros Generales'!$C$6*'Parametros Generales'!$C$11</f>
        <v>14738498.767401624</v>
      </c>
      <c r="AD694" s="417"/>
      <c r="AE694" s="417"/>
      <c r="AF694" s="417"/>
      <c r="AG694" s="417"/>
      <c r="AH694" s="417"/>
      <c r="AI694" s="417"/>
      <c r="AJ694" s="417"/>
      <c r="AK694" s="436"/>
      <c r="AL694" s="822"/>
    </row>
    <row r="695" spans="1:38" s="33" customFormat="1" hidden="1" outlineLevel="1">
      <c r="A695" s="1150"/>
      <c r="B695" s="821">
        <v>47</v>
      </c>
      <c r="C695" s="371" t="s">
        <v>441</v>
      </c>
      <c r="D695" s="31">
        <f>+VLOOKUP(E695,Codigos!$A$1:$B$1123,2,0)</f>
        <v>47545</v>
      </c>
      <c r="E695" s="1112" t="s">
        <v>2027</v>
      </c>
      <c r="F695" s="1103">
        <v>1</v>
      </c>
      <c r="G695" s="30">
        <v>198</v>
      </c>
      <c r="H695" s="1061">
        <f>CEILING(G695,'Parametros Generales'!$C$8)</f>
        <v>200</v>
      </c>
      <c r="I695" s="1059" t="s">
        <v>2391</v>
      </c>
      <c r="J695" s="1058">
        <v>200</v>
      </c>
      <c r="K695" s="1070" t="str">
        <f t="shared" si="52"/>
        <v>Ok</v>
      </c>
      <c r="L695" s="1077">
        <f t="shared" si="53"/>
        <v>0</v>
      </c>
      <c r="M695" s="1090">
        <f>+H695/'Parametros Generales'!$C$8</f>
        <v>8</v>
      </c>
      <c r="N695" s="1097"/>
      <c r="O695" s="1097"/>
      <c r="P695" s="1097"/>
      <c r="Q695" s="1097"/>
      <c r="R695" s="1097">
        <f>+(M695/'Parametros Generales'!$C$9)</f>
        <v>2</v>
      </c>
      <c r="S695" s="390"/>
      <c r="T695" s="390"/>
      <c r="U695" s="390"/>
      <c r="V695" s="389"/>
      <c r="W695" s="32">
        <f>+R695*'Componentes T.H.'!$Q$9*'Parametros Generales'!$C$6</f>
        <v>10037014.142000001</v>
      </c>
      <c r="X695" s="32">
        <f>(+VLOOKUP(C695,'Transporte y Viaticos'!$B$87:$L$120,2,0)*'Parametros Generales'!$C$7*R695)*(2/3)</f>
        <v>1556876.9096810224</v>
      </c>
      <c r="Y695" s="417"/>
      <c r="Z695" s="417"/>
      <c r="AA695" s="417"/>
      <c r="AB695" s="417">
        <f>+M695*'Parametros Generales'!$C$6*'Parametros Generales'!$J$9</f>
        <v>3895272.7272727285</v>
      </c>
      <c r="AC695" s="417">
        <f>+H695*'Parametros Generales'!$J$10*'Parametros Generales'!$C$6*'Parametros Generales'!$C$11</f>
        <v>14738498.767401624</v>
      </c>
      <c r="AD695" s="417"/>
      <c r="AE695" s="417"/>
      <c r="AF695" s="417"/>
      <c r="AG695" s="417"/>
      <c r="AH695" s="417"/>
      <c r="AI695" s="417"/>
      <c r="AJ695" s="417"/>
      <c r="AK695" s="436"/>
      <c r="AL695" s="822"/>
    </row>
    <row r="696" spans="1:38" s="33" customFormat="1" hidden="1" outlineLevel="1">
      <c r="A696" s="1150"/>
      <c r="B696" s="821">
        <v>47</v>
      </c>
      <c r="C696" s="371" t="s">
        <v>441</v>
      </c>
      <c r="D696" s="31">
        <f>+VLOOKUP(E696,Codigos!$A$1:$B$1123,2,0)</f>
        <v>47551</v>
      </c>
      <c r="E696" s="1111" t="s">
        <v>2028</v>
      </c>
      <c r="F696" s="1103">
        <v>1</v>
      </c>
      <c r="G696" s="30">
        <v>198</v>
      </c>
      <c r="H696" s="1061">
        <f>CEILING(G696,'Parametros Generales'!$C$8)</f>
        <v>200</v>
      </c>
      <c r="I696" s="1057" t="s">
        <v>457</v>
      </c>
      <c r="J696" s="1058">
        <v>200</v>
      </c>
      <c r="K696" s="1070" t="str">
        <f t="shared" si="52"/>
        <v>Ok</v>
      </c>
      <c r="L696" s="1077">
        <f t="shared" si="53"/>
        <v>0</v>
      </c>
      <c r="M696" s="1090">
        <f>+H696/'Parametros Generales'!$C$8</f>
        <v>8</v>
      </c>
      <c r="N696" s="1097"/>
      <c r="O696" s="1097"/>
      <c r="P696" s="1097"/>
      <c r="Q696" s="1097"/>
      <c r="R696" s="1097">
        <f>+(M696/'Parametros Generales'!$C$9)</f>
        <v>2</v>
      </c>
      <c r="S696" s="390"/>
      <c r="T696" s="390"/>
      <c r="U696" s="390"/>
      <c r="V696" s="389"/>
      <c r="W696" s="32">
        <f>+R696*'Componentes T.H.'!$Q$9*'Parametros Generales'!$C$6</f>
        <v>10037014.142000001</v>
      </c>
      <c r="X696" s="32">
        <f>(+VLOOKUP(C696,'Transporte y Viaticos'!$B$87:$L$120,2,0)*'Parametros Generales'!$C$7*R696)*(2/3)</f>
        <v>1556876.9096810224</v>
      </c>
      <c r="Y696" s="417"/>
      <c r="Z696" s="417"/>
      <c r="AA696" s="417"/>
      <c r="AB696" s="417">
        <f>+M696*'Parametros Generales'!$C$6*'Parametros Generales'!$J$9</f>
        <v>3895272.7272727285</v>
      </c>
      <c r="AC696" s="417">
        <f>+H696*'Parametros Generales'!$J$10*'Parametros Generales'!$C$6*'Parametros Generales'!$C$11</f>
        <v>14738498.767401624</v>
      </c>
      <c r="AD696" s="417"/>
      <c r="AE696" s="417"/>
      <c r="AF696" s="417"/>
      <c r="AG696" s="417"/>
      <c r="AH696" s="417"/>
      <c r="AI696" s="417"/>
      <c r="AJ696" s="417"/>
      <c r="AK696" s="436"/>
      <c r="AL696" s="822"/>
    </row>
    <row r="697" spans="1:38" s="33" customFormat="1" hidden="1" outlineLevel="1">
      <c r="A697" s="1150"/>
      <c r="B697" s="821">
        <v>47</v>
      </c>
      <c r="C697" s="371" t="s">
        <v>441</v>
      </c>
      <c r="D697" s="31">
        <f>+VLOOKUP(E697,Codigos!$A$1:$B$1123,2,0)</f>
        <v>47555</v>
      </c>
      <c r="E697" s="1111" t="s">
        <v>2029</v>
      </c>
      <c r="F697" s="1103">
        <v>1</v>
      </c>
      <c r="G697" s="30">
        <v>198</v>
      </c>
      <c r="H697" s="1061">
        <f>CEILING(G697,'Parametros Generales'!$C$8)</f>
        <v>200</v>
      </c>
      <c r="I697" s="1057" t="s">
        <v>458</v>
      </c>
      <c r="J697" s="1058">
        <v>200</v>
      </c>
      <c r="K697" s="1070" t="str">
        <f t="shared" si="52"/>
        <v>Ok</v>
      </c>
      <c r="L697" s="1077">
        <f t="shared" si="53"/>
        <v>0</v>
      </c>
      <c r="M697" s="1090">
        <f>+H697/'Parametros Generales'!$C$8</f>
        <v>8</v>
      </c>
      <c r="N697" s="1097"/>
      <c r="O697" s="1097"/>
      <c r="P697" s="1097"/>
      <c r="Q697" s="1097"/>
      <c r="R697" s="1097">
        <f>+(M697/'Parametros Generales'!$C$9)</f>
        <v>2</v>
      </c>
      <c r="S697" s="390"/>
      <c r="T697" s="390"/>
      <c r="U697" s="390"/>
      <c r="V697" s="389"/>
      <c r="W697" s="32">
        <f>+R697*'Componentes T.H.'!$Q$9*'Parametros Generales'!$C$6</f>
        <v>10037014.142000001</v>
      </c>
      <c r="X697" s="32">
        <f>(+VLOOKUP(C697,'Transporte y Viaticos'!$B$87:$L$120,2,0)*'Parametros Generales'!$C$7*R697)*(2/3)</f>
        <v>1556876.9096810224</v>
      </c>
      <c r="Y697" s="417"/>
      <c r="Z697" s="417"/>
      <c r="AA697" s="417"/>
      <c r="AB697" s="417">
        <f>+M697*'Parametros Generales'!$C$6*'Parametros Generales'!$J$9</f>
        <v>3895272.7272727285</v>
      </c>
      <c r="AC697" s="417">
        <f>+H697*'Parametros Generales'!$J$10*'Parametros Generales'!$C$6*'Parametros Generales'!$C$11</f>
        <v>14738498.767401624</v>
      </c>
      <c r="AD697" s="417"/>
      <c r="AE697" s="417"/>
      <c r="AF697" s="417"/>
      <c r="AG697" s="417"/>
      <c r="AH697" s="417"/>
      <c r="AI697" s="417"/>
      <c r="AJ697" s="417"/>
      <c r="AK697" s="436"/>
      <c r="AL697" s="822"/>
    </row>
    <row r="698" spans="1:38" s="33" customFormat="1" hidden="1" outlineLevel="1">
      <c r="A698" s="1150"/>
      <c r="B698" s="821">
        <v>47</v>
      </c>
      <c r="C698" s="371" t="s">
        <v>441</v>
      </c>
      <c r="D698" s="31">
        <f>+VLOOKUP(E698,Codigos!$A$1:$B$1123,2,0)</f>
        <v>47570</v>
      </c>
      <c r="E698" s="1111" t="s">
        <v>2030</v>
      </c>
      <c r="F698" s="1103">
        <v>1</v>
      </c>
      <c r="G698" s="30">
        <v>198</v>
      </c>
      <c r="H698" s="1061">
        <f>CEILING(G698,'Parametros Generales'!$C$8)</f>
        <v>200</v>
      </c>
      <c r="I698" s="1057" t="s">
        <v>459</v>
      </c>
      <c r="J698" s="1058">
        <v>200</v>
      </c>
      <c r="K698" s="1070" t="str">
        <f t="shared" si="52"/>
        <v>Ok</v>
      </c>
      <c r="L698" s="1077">
        <f t="shared" si="53"/>
        <v>0</v>
      </c>
      <c r="M698" s="1090">
        <f>+H698/'Parametros Generales'!$C$8</f>
        <v>8</v>
      </c>
      <c r="N698" s="1097"/>
      <c r="O698" s="1097"/>
      <c r="P698" s="1097"/>
      <c r="Q698" s="1097"/>
      <c r="R698" s="1097">
        <f>+(M698/'Parametros Generales'!$C$9)</f>
        <v>2</v>
      </c>
      <c r="S698" s="390"/>
      <c r="T698" s="390"/>
      <c r="U698" s="390"/>
      <c r="V698" s="389"/>
      <c r="W698" s="32">
        <f>+R698*'Componentes T.H.'!$Q$9*'Parametros Generales'!$C$6</f>
        <v>10037014.142000001</v>
      </c>
      <c r="X698" s="32">
        <f>(+VLOOKUP(C698,'Transporte y Viaticos'!$B$87:$L$120,2,0)*'Parametros Generales'!$C$7*R698)*(2/3)</f>
        <v>1556876.9096810224</v>
      </c>
      <c r="Y698" s="417"/>
      <c r="Z698" s="417"/>
      <c r="AA698" s="417"/>
      <c r="AB698" s="417">
        <f>+M698*'Parametros Generales'!$C$6*'Parametros Generales'!$J$9</f>
        <v>3895272.7272727285</v>
      </c>
      <c r="AC698" s="417">
        <f>+H698*'Parametros Generales'!$J$10*'Parametros Generales'!$C$6*'Parametros Generales'!$C$11</f>
        <v>14738498.767401624</v>
      </c>
      <c r="AD698" s="417"/>
      <c r="AE698" s="417"/>
      <c r="AF698" s="417"/>
      <c r="AG698" s="417"/>
      <c r="AH698" s="417"/>
      <c r="AI698" s="417"/>
      <c r="AJ698" s="417"/>
      <c r="AK698" s="436"/>
      <c r="AL698" s="822"/>
    </row>
    <row r="699" spans="1:38" s="33" customFormat="1" hidden="1" outlineLevel="1">
      <c r="A699" s="1150"/>
      <c r="B699" s="821">
        <v>47</v>
      </c>
      <c r="C699" s="371" t="s">
        <v>441</v>
      </c>
      <c r="D699" s="31">
        <f>+VLOOKUP(E699,Codigos!$A$1:$B$1123,2,0)</f>
        <v>47605</v>
      </c>
      <c r="E699" s="1112" t="s">
        <v>2031</v>
      </c>
      <c r="F699" s="1103">
        <v>1</v>
      </c>
      <c r="G699" s="30">
        <v>396</v>
      </c>
      <c r="H699" s="1061">
        <f>CEILING(G699,'Parametros Generales'!$C$8)</f>
        <v>400</v>
      </c>
      <c r="I699" s="1059" t="s">
        <v>460</v>
      </c>
      <c r="J699" s="1058">
        <v>400</v>
      </c>
      <c r="K699" s="1070" t="str">
        <f t="shared" si="52"/>
        <v>Ok</v>
      </c>
      <c r="L699" s="1077">
        <f t="shared" si="53"/>
        <v>0</v>
      </c>
      <c r="M699" s="1090">
        <f>+H699/'Parametros Generales'!$C$8</f>
        <v>16</v>
      </c>
      <c r="N699" s="1097"/>
      <c r="O699" s="1097"/>
      <c r="P699" s="1097"/>
      <c r="Q699" s="1097"/>
      <c r="R699" s="1097">
        <f>+(M699/'Parametros Generales'!$C$9)</f>
        <v>4</v>
      </c>
      <c r="S699" s="390"/>
      <c r="T699" s="390"/>
      <c r="U699" s="390"/>
      <c r="V699" s="389"/>
      <c r="W699" s="32">
        <f>+R699*'Componentes T.H.'!$Q$9*'Parametros Generales'!$C$6</f>
        <v>20074028.284000002</v>
      </c>
      <c r="X699" s="32">
        <f>(+VLOOKUP(C699,'Transporte y Viaticos'!$B$87:$L$120,2,0)*'Parametros Generales'!$C$7*R699)*(2/3)</f>
        <v>3113753.8193620448</v>
      </c>
      <c r="Y699" s="417"/>
      <c r="Z699" s="417"/>
      <c r="AA699" s="417"/>
      <c r="AB699" s="417">
        <f>+M699*'Parametros Generales'!$C$6*'Parametros Generales'!$J$9</f>
        <v>7790545.4545454569</v>
      </c>
      <c r="AC699" s="417">
        <f>+H699*'Parametros Generales'!$J$10*'Parametros Generales'!$C$6*'Parametros Generales'!$C$11</f>
        <v>29476997.534803249</v>
      </c>
      <c r="AD699" s="417"/>
      <c r="AE699" s="417"/>
      <c r="AF699" s="417"/>
      <c r="AG699" s="417"/>
      <c r="AH699" s="417"/>
      <c r="AI699" s="417"/>
      <c r="AJ699" s="417"/>
      <c r="AK699" s="436"/>
      <c r="AL699" s="822"/>
    </row>
    <row r="700" spans="1:38" s="33" customFormat="1" hidden="1" outlineLevel="1">
      <c r="A700" s="1150"/>
      <c r="B700" s="821">
        <v>47</v>
      </c>
      <c r="C700" s="371" t="s">
        <v>441</v>
      </c>
      <c r="D700" s="31">
        <f>+VLOOKUP(E700,Codigos!$A$1:$B$1123,2,0)</f>
        <v>47660</v>
      </c>
      <c r="E700" s="1112" t="s">
        <v>2032</v>
      </c>
      <c r="F700" s="1103">
        <v>1</v>
      </c>
      <c r="G700" s="30">
        <v>198</v>
      </c>
      <c r="H700" s="1061">
        <f>CEILING(G700,'Parametros Generales'!$C$8)</f>
        <v>200</v>
      </c>
      <c r="I700" s="1059" t="s">
        <v>2392</v>
      </c>
      <c r="J700" s="1058">
        <v>200</v>
      </c>
      <c r="K700" s="1070" t="str">
        <f t="shared" si="52"/>
        <v>Ok</v>
      </c>
      <c r="L700" s="1077">
        <f t="shared" si="53"/>
        <v>0</v>
      </c>
      <c r="M700" s="1090">
        <f>+H700/'Parametros Generales'!$C$8</f>
        <v>8</v>
      </c>
      <c r="N700" s="1097"/>
      <c r="O700" s="1097"/>
      <c r="P700" s="1097"/>
      <c r="Q700" s="1097"/>
      <c r="R700" s="1097">
        <f>+(M700/'Parametros Generales'!$C$9)</f>
        <v>2</v>
      </c>
      <c r="S700" s="390"/>
      <c r="T700" s="390"/>
      <c r="U700" s="390"/>
      <c r="V700" s="389"/>
      <c r="W700" s="32">
        <f>+R700*'Componentes T.H.'!$Q$9*'Parametros Generales'!$C$6</f>
        <v>10037014.142000001</v>
      </c>
      <c r="X700" s="32">
        <f>(+VLOOKUP(C700,'Transporte y Viaticos'!$B$87:$L$120,2,0)*'Parametros Generales'!$C$7*R700)*(2/3)</f>
        <v>1556876.9096810224</v>
      </c>
      <c r="Y700" s="417"/>
      <c r="Z700" s="417"/>
      <c r="AA700" s="417"/>
      <c r="AB700" s="417">
        <f>+M700*'Parametros Generales'!$C$6*'Parametros Generales'!$J$9</f>
        <v>3895272.7272727285</v>
      </c>
      <c r="AC700" s="417">
        <f>+H700*'Parametros Generales'!$J$10*'Parametros Generales'!$C$6*'Parametros Generales'!$C$11</f>
        <v>14738498.767401624</v>
      </c>
      <c r="AD700" s="417"/>
      <c r="AE700" s="417"/>
      <c r="AF700" s="417"/>
      <c r="AG700" s="417"/>
      <c r="AH700" s="417"/>
      <c r="AI700" s="417"/>
      <c r="AJ700" s="417"/>
      <c r="AK700" s="436"/>
      <c r="AL700" s="822"/>
    </row>
    <row r="701" spans="1:38" s="33" customFormat="1" hidden="1" outlineLevel="1">
      <c r="A701" s="1150"/>
      <c r="B701" s="821">
        <v>47</v>
      </c>
      <c r="C701" s="371" t="s">
        <v>441</v>
      </c>
      <c r="D701" s="31">
        <f>+VLOOKUP(E701,Codigos!$A$1:$B$1123,2,0)</f>
        <v>47675</v>
      </c>
      <c r="E701" s="1112" t="s">
        <v>2033</v>
      </c>
      <c r="F701" s="1103">
        <v>1</v>
      </c>
      <c r="G701" s="30">
        <v>198</v>
      </c>
      <c r="H701" s="1061">
        <f>CEILING(G701,'Parametros Generales'!$C$8)</f>
        <v>200</v>
      </c>
      <c r="I701" s="1059" t="s">
        <v>461</v>
      </c>
      <c r="J701" s="1058">
        <v>200</v>
      </c>
      <c r="K701" s="1070" t="str">
        <f t="shared" si="52"/>
        <v>Ok</v>
      </c>
      <c r="L701" s="1077">
        <f t="shared" si="53"/>
        <v>0</v>
      </c>
      <c r="M701" s="1090">
        <f>+H701/'Parametros Generales'!$C$8</f>
        <v>8</v>
      </c>
      <c r="N701" s="1097"/>
      <c r="O701" s="1097"/>
      <c r="P701" s="1097"/>
      <c r="Q701" s="1097"/>
      <c r="R701" s="1097">
        <f>+(M701/'Parametros Generales'!$C$9)</f>
        <v>2</v>
      </c>
      <c r="S701" s="390"/>
      <c r="T701" s="390"/>
      <c r="U701" s="390"/>
      <c r="V701" s="389"/>
      <c r="W701" s="32">
        <f>+R701*'Componentes T.H.'!$Q$9*'Parametros Generales'!$C$6</f>
        <v>10037014.142000001</v>
      </c>
      <c r="X701" s="32">
        <f>(+VLOOKUP(C701,'Transporte y Viaticos'!$B$87:$L$120,2,0)*'Parametros Generales'!$C$7*R701)*(2/3)</f>
        <v>1556876.9096810224</v>
      </c>
      <c r="Y701" s="417"/>
      <c r="Z701" s="417"/>
      <c r="AA701" s="417"/>
      <c r="AB701" s="417">
        <f>+M701*'Parametros Generales'!$C$6*'Parametros Generales'!$J$9</f>
        <v>3895272.7272727285</v>
      </c>
      <c r="AC701" s="417">
        <f>+H701*'Parametros Generales'!$J$10*'Parametros Generales'!$C$6*'Parametros Generales'!$C$11</f>
        <v>14738498.767401624</v>
      </c>
      <c r="AD701" s="417"/>
      <c r="AE701" s="417"/>
      <c r="AF701" s="417"/>
      <c r="AG701" s="417"/>
      <c r="AH701" s="417"/>
      <c r="AI701" s="417"/>
      <c r="AJ701" s="417"/>
      <c r="AK701" s="436"/>
      <c r="AL701" s="822"/>
    </row>
    <row r="702" spans="1:38" s="33" customFormat="1" hidden="1" outlineLevel="1">
      <c r="A702" s="1150"/>
      <c r="B702" s="821">
        <v>47</v>
      </c>
      <c r="C702" s="371" t="s">
        <v>441</v>
      </c>
      <c r="D702" s="31">
        <f>+VLOOKUP(E702,Codigos!$A$1:$B$1123,2,0)</f>
        <v>47692</v>
      </c>
      <c r="E702" s="1111" t="s">
        <v>2034</v>
      </c>
      <c r="F702" s="1103">
        <v>1</v>
      </c>
      <c r="G702" s="30">
        <v>396</v>
      </c>
      <c r="H702" s="1061">
        <f>CEILING(G702,'Parametros Generales'!$C$8)</f>
        <v>400</v>
      </c>
      <c r="I702" s="1057" t="s">
        <v>462</v>
      </c>
      <c r="J702" s="1058">
        <v>400</v>
      </c>
      <c r="K702" s="1070" t="str">
        <f t="shared" si="52"/>
        <v>Ok</v>
      </c>
      <c r="L702" s="1077">
        <f t="shared" si="53"/>
        <v>0</v>
      </c>
      <c r="M702" s="1090">
        <f>+H702/'Parametros Generales'!$C$8</f>
        <v>16</v>
      </c>
      <c r="N702" s="1097"/>
      <c r="O702" s="1097"/>
      <c r="P702" s="1097"/>
      <c r="Q702" s="1097"/>
      <c r="R702" s="1097">
        <f>+(M702/'Parametros Generales'!$C$9)</f>
        <v>4</v>
      </c>
      <c r="S702" s="390"/>
      <c r="T702" s="390"/>
      <c r="U702" s="390"/>
      <c r="V702" s="389"/>
      <c r="W702" s="32">
        <f>+R702*'Componentes T.H.'!$Q$9*'Parametros Generales'!$C$6</f>
        <v>20074028.284000002</v>
      </c>
      <c r="X702" s="32">
        <f>(+VLOOKUP(C702,'Transporte y Viaticos'!$B$87:$L$120,2,0)*'Parametros Generales'!$C$7*R702)*(2/3)</f>
        <v>3113753.8193620448</v>
      </c>
      <c r="Y702" s="417"/>
      <c r="Z702" s="417"/>
      <c r="AA702" s="417"/>
      <c r="AB702" s="417">
        <f>+M702*'Parametros Generales'!$C$6*'Parametros Generales'!$J$9</f>
        <v>7790545.4545454569</v>
      </c>
      <c r="AC702" s="417">
        <f>+H702*'Parametros Generales'!$J$10*'Parametros Generales'!$C$6*'Parametros Generales'!$C$11</f>
        <v>29476997.534803249</v>
      </c>
      <c r="AD702" s="417"/>
      <c r="AE702" s="417"/>
      <c r="AF702" s="417"/>
      <c r="AG702" s="417"/>
      <c r="AH702" s="417"/>
      <c r="AI702" s="417"/>
      <c r="AJ702" s="417"/>
      <c r="AK702" s="436"/>
      <c r="AL702" s="822"/>
    </row>
    <row r="703" spans="1:38" s="33" customFormat="1" hidden="1" outlineLevel="1">
      <c r="A703" s="1150"/>
      <c r="B703" s="821">
        <v>47</v>
      </c>
      <c r="C703" s="371" t="s">
        <v>441</v>
      </c>
      <c r="D703" s="31">
        <f>+VLOOKUP(E703,Codigos!$A$1:$B$1123,2,0)</f>
        <v>47703</v>
      </c>
      <c r="E703" s="1111" t="s">
        <v>2035</v>
      </c>
      <c r="F703" s="1103">
        <v>1</v>
      </c>
      <c r="G703" s="30">
        <v>396</v>
      </c>
      <c r="H703" s="1061">
        <f>CEILING(G703,'Parametros Generales'!$C$8)</f>
        <v>400</v>
      </c>
      <c r="I703" s="1057" t="s">
        <v>463</v>
      </c>
      <c r="J703" s="1058">
        <v>400</v>
      </c>
      <c r="K703" s="1070" t="str">
        <f t="shared" si="52"/>
        <v>Ok</v>
      </c>
      <c r="L703" s="1077">
        <f t="shared" si="53"/>
        <v>0</v>
      </c>
      <c r="M703" s="1090">
        <f>+H703/'Parametros Generales'!$C$8</f>
        <v>16</v>
      </c>
      <c r="N703" s="1097"/>
      <c r="O703" s="1097"/>
      <c r="P703" s="1097"/>
      <c r="Q703" s="1097"/>
      <c r="R703" s="1097">
        <f>+(M703/'Parametros Generales'!$C$9)</f>
        <v>4</v>
      </c>
      <c r="S703" s="390"/>
      <c r="T703" s="390"/>
      <c r="U703" s="390"/>
      <c r="V703" s="389"/>
      <c r="W703" s="32">
        <f>+R703*'Componentes T.H.'!$Q$9*'Parametros Generales'!$C$6</f>
        <v>20074028.284000002</v>
      </c>
      <c r="X703" s="32">
        <f>(+VLOOKUP(C703,'Transporte y Viaticos'!$B$87:$L$120,2,0)*'Parametros Generales'!$C$7*R703)*(2/3)</f>
        <v>3113753.8193620448</v>
      </c>
      <c r="Y703" s="417"/>
      <c r="Z703" s="417"/>
      <c r="AA703" s="417"/>
      <c r="AB703" s="417">
        <f>+M703*'Parametros Generales'!$C$6*'Parametros Generales'!$J$9</f>
        <v>7790545.4545454569</v>
      </c>
      <c r="AC703" s="417">
        <f>+H703*'Parametros Generales'!$J$10*'Parametros Generales'!$C$6*'Parametros Generales'!$C$11</f>
        <v>29476997.534803249</v>
      </c>
      <c r="AD703" s="417"/>
      <c r="AE703" s="417"/>
      <c r="AF703" s="417"/>
      <c r="AG703" s="417"/>
      <c r="AH703" s="417"/>
      <c r="AI703" s="417"/>
      <c r="AJ703" s="417"/>
      <c r="AK703" s="436"/>
      <c r="AL703" s="822"/>
    </row>
    <row r="704" spans="1:38" s="33" customFormat="1" hidden="1" outlineLevel="1">
      <c r="A704" s="1150"/>
      <c r="B704" s="821">
        <v>47</v>
      </c>
      <c r="C704" s="371" t="s">
        <v>441</v>
      </c>
      <c r="D704" s="31">
        <f>+VLOOKUP(E704,Codigos!$A$1:$B$1123,2,0)</f>
        <v>47707</v>
      </c>
      <c r="E704" s="1111" t="s">
        <v>2036</v>
      </c>
      <c r="F704" s="1103">
        <v>1</v>
      </c>
      <c r="G704" s="30">
        <v>198</v>
      </c>
      <c r="H704" s="1061">
        <f>CEILING(G704,'Parametros Generales'!$C$8)</f>
        <v>200</v>
      </c>
      <c r="I704" s="1057" t="s">
        <v>464</v>
      </c>
      <c r="J704" s="1058">
        <v>200</v>
      </c>
      <c r="K704" s="1070" t="str">
        <f t="shared" si="52"/>
        <v>Ok</v>
      </c>
      <c r="L704" s="1077">
        <f t="shared" si="53"/>
        <v>0</v>
      </c>
      <c r="M704" s="1090">
        <f>+H704/'Parametros Generales'!$C$8</f>
        <v>8</v>
      </c>
      <c r="N704" s="1097"/>
      <c r="O704" s="1097"/>
      <c r="P704" s="1097"/>
      <c r="Q704" s="1097"/>
      <c r="R704" s="1097">
        <f>+(M704/'Parametros Generales'!$C$9)</f>
        <v>2</v>
      </c>
      <c r="S704" s="390"/>
      <c r="T704" s="390"/>
      <c r="U704" s="390"/>
      <c r="V704" s="389"/>
      <c r="W704" s="32">
        <f>+R704*'Componentes T.H.'!$Q$9*'Parametros Generales'!$C$6</f>
        <v>10037014.142000001</v>
      </c>
      <c r="X704" s="32">
        <f>(+VLOOKUP(C704,'Transporte y Viaticos'!$B$87:$L$120,2,0)*'Parametros Generales'!$C$7*R704)*(2/3)</f>
        <v>1556876.9096810224</v>
      </c>
      <c r="Y704" s="417"/>
      <c r="Z704" s="417"/>
      <c r="AA704" s="417"/>
      <c r="AB704" s="417">
        <f>+M704*'Parametros Generales'!$C$6*'Parametros Generales'!$J$9</f>
        <v>3895272.7272727285</v>
      </c>
      <c r="AC704" s="417">
        <f>+H704*'Parametros Generales'!$J$10*'Parametros Generales'!$C$6*'Parametros Generales'!$C$11</f>
        <v>14738498.767401624</v>
      </c>
      <c r="AD704" s="417"/>
      <c r="AE704" s="417"/>
      <c r="AF704" s="417"/>
      <c r="AG704" s="417"/>
      <c r="AH704" s="417"/>
      <c r="AI704" s="417"/>
      <c r="AJ704" s="417"/>
      <c r="AK704" s="436"/>
      <c r="AL704" s="822"/>
    </row>
    <row r="705" spans="1:38" s="33" customFormat="1" hidden="1" outlineLevel="1">
      <c r="A705" s="1150"/>
      <c r="B705" s="821">
        <v>47</v>
      </c>
      <c r="C705" s="371" t="s">
        <v>441</v>
      </c>
      <c r="D705" s="31">
        <f>+VLOOKUP(E705,Codigos!$A$1:$B$1123,2,0)</f>
        <v>47720</v>
      </c>
      <c r="E705" s="1112" t="s">
        <v>2037</v>
      </c>
      <c r="F705" s="1103">
        <v>1</v>
      </c>
      <c r="G705" s="30">
        <v>198</v>
      </c>
      <c r="H705" s="1061">
        <f>CEILING(G705,'Parametros Generales'!$C$8)</f>
        <v>200</v>
      </c>
      <c r="I705" s="1059" t="s">
        <v>465</v>
      </c>
      <c r="J705" s="1058">
        <v>200</v>
      </c>
      <c r="K705" s="1070" t="str">
        <f t="shared" si="52"/>
        <v>Ok</v>
      </c>
      <c r="L705" s="1077">
        <f t="shared" si="53"/>
        <v>0</v>
      </c>
      <c r="M705" s="1090">
        <f>+H705/'Parametros Generales'!$C$8</f>
        <v>8</v>
      </c>
      <c r="N705" s="1097"/>
      <c r="O705" s="1097"/>
      <c r="P705" s="1097"/>
      <c r="Q705" s="1097"/>
      <c r="R705" s="1097">
        <f>+(M705/'Parametros Generales'!$C$9)</f>
        <v>2</v>
      </c>
      <c r="S705" s="390"/>
      <c r="T705" s="390"/>
      <c r="U705" s="390"/>
      <c r="V705" s="389"/>
      <c r="W705" s="32">
        <f>+R705*'Componentes T.H.'!$Q$9*'Parametros Generales'!$C$6</f>
        <v>10037014.142000001</v>
      </c>
      <c r="X705" s="32">
        <f>(+VLOOKUP(C705,'Transporte y Viaticos'!$B$87:$L$120,2,0)*'Parametros Generales'!$C$7*R705)*(2/3)</f>
        <v>1556876.9096810224</v>
      </c>
      <c r="Y705" s="417"/>
      <c r="Z705" s="417"/>
      <c r="AA705" s="417"/>
      <c r="AB705" s="417">
        <f>+M705*'Parametros Generales'!$C$6*'Parametros Generales'!$J$9</f>
        <v>3895272.7272727285</v>
      </c>
      <c r="AC705" s="417">
        <f>+H705*'Parametros Generales'!$J$10*'Parametros Generales'!$C$6*'Parametros Generales'!$C$11</f>
        <v>14738498.767401624</v>
      </c>
      <c r="AD705" s="417"/>
      <c r="AE705" s="417"/>
      <c r="AF705" s="417"/>
      <c r="AG705" s="417"/>
      <c r="AH705" s="417"/>
      <c r="AI705" s="417"/>
      <c r="AJ705" s="417"/>
      <c r="AK705" s="436"/>
      <c r="AL705" s="822"/>
    </row>
    <row r="706" spans="1:38" s="33" customFormat="1" hidden="1" outlineLevel="1">
      <c r="A706" s="1150"/>
      <c r="B706" s="821">
        <v>47</v>
      </c>
      <c r="C706" s="371" t="s">
        <v>441</v>
      </c>
      <c r="D706" s="31">
        <f>+VLOOKUP(E706,Codigos!$A$1:$B$1123,2,0)</f>
        <v>47745</v>
      </c>
      <c r="E706" s="1111" t="s">
        <v>2038</v>
      </c>
      <c r="F706" s="1103">
        <v>1</v>
      </c>
      <c r="G706" s="30">
        <v>198</v>
      </c>
      <c r="H706" s="1061">
        <f>CEILING(G706,'Parametros Generales'!$C$8)</f>
        <v>200</v>
      </c>
      <c r="I706" s="1057" t="s">
        <v>466</v>
      </c>
      <c r="J706" s="1058">
        <v>200</v>
      </c>
      <c r="K706" s="1070" t="str">
        <f t="shared" ref="K706:K770" si="56">+IF(I706=E706,"Ok","Rev")</f>
        <v>Ok</v>
      </c>
      <c r="L706" s="1077">
        <f t="shared" ref="L706:L770" si="57">+J706-H706</f>
        <v>0</v>
      </c>
      <c r="M706" s="1090">
        <f>+H706/'Parametros Generales'!$C$8</f>
        <v>8</v>
      </c>
      <c r="N706" s="1097"/>
      <c r="O706" s="1097"/>
      <c r="P706" s="1097"/>
      <c r="Q706" s="1097"/>
      <c r="R706" s="1097">
        <f>+(M706/'Parametros Generales'!$C$9)</f>
        <v>2</v>
      </c>
      <c r="S706" s="390"/>
      <c r="T706" s="390"/>
      <c r="U706" s="390"/>
      <c r="V706" s="389"/>
      <c r="W706" s="32">
        <f>+R706*'Componentes T.H.'!$Q$9*'Parametros Generales'!$C$6</f>
        <v>10037014.142000001</v>
      </c>
      <c r="X706" s="32">
        <f>(+VLOOKUP(C706,'Transporte y Viaticos'!$B$87:$L$120,2,0)*'Parametros Generales'!$C$7*R706)*(2/3)</f>
        <v>1556876.9096810224</v>
      </c>
      <c r="Y706" s="417"/>
      <c r="Z706" s="417"/>
      <c r="AA706" s="417"/>
      <c r="AB706" s="417">
        <f>+M706*'Parametros Generales'!$C$6*'Parametros Generales'!$J$9</f>
        <v>3895272.7272727285</v>
      </c>
      <c r="AC706" s="417">
        <f>+H706*'Parametros Generales'!$J$10*'Parametros Generales'!$C$6*'Parametros Generales'!$C$11</f>
        <v>14738498.767401624</v>
      </c>
      <c r="AD706" s="417"/>
      <c r="AE706" s="417"/>
      <c r="AF706" s="417"/>
      <c r="AG706" s="417"/>
      <c r="AH706" s="417"/>
      <c r="AI706" s="417"/>
      <c r="AJ706" s="417"/>
      <c r="AK706" s="436"/>
      <c r="AL706" s="822"/>
    </row>
    <row r="707" spans="1:38" s="33" customFormat="1" hidden="1" outlineLevel="1">
      <c r="A707" s="1150"/>
      <c r="B707" s="821">
        <v>47</v>
      </c>
      <c r="C707" s="371" t="s">
        <v>441</v>
      </c>
      <c r="D707" s="31">
        <f>+VLOOKUP(E707,Codigos!$A$1:$B$1123,2,0)</f>
        <v>47798</v>
      </c>
      <c r="E707" s="1111" t="s">
        <v>2039</v>
      </c>
      <c r="F707" s="1103">
        <v>1</v>
      </c>
      <c r="G707" s="30">
        <v>198</v>
      </c>
      <c r="H707" s="1061">
        <f>CEILING(G707,'Parametros Generales'!$C$8)</f>
        <v>200</v>
      </c>
      <c r="I707" s="1057" t="s">
        <v>467</v>
      </c>
      <c r="J707" s="1058">
        <v>200</v>
      </c>
      <c r="K707" s="1070" t="str">
        <f t="shared" si="56"/>
        <v>Ok</v>
      </c>
      <c r="L707" s="1077">
        <f t="shared" si="57"/>
        <v>0</v>
      </c>
      <c r="M707" s="1090">
        <f>+H707/'Parametros Generales'!$C$8</f>
        <v>8</v>
      </c>
      <c r="N707" s="1097"/>
      <c r="O707" s="1097"/>
      <c r="P707" s="1097"/>
      <c r="Q707" s="1097"/>
      <c r="R707" s="1097">
        <f>+(M707/'Parametros Generales'!$C$9)</f>
        <v>2</v>
      </c>
      <c r="S707" s="390"/>
      <c r="T707" s="390"/>
      <c r="U707" s="390"/>
      <c r="V707" s="389"/>
      <c r="W707" s="32">
        <f>+R707*'Componentes T.H.'!$Q$9*'Parametros Generales'!$C$6</f>
        <v>10037014.142000001</v>
      </c>
      <c r="X707" s="32">
        <f>(+VLOOKUP(C707,'Transporte y Viaticos'!$B$87:$L$120,2,0)*'Parametros Generales'!$C$7*R707)*(2/3)</f>
        <v>1556876.9096810224</v>
      </c>
      <c r="Y707" s="417"/>
      <c r="Z707" s="417"/>
      <c r="AA707" s="417"/>
      <c r="AB707" s="417">
        <f>+M707*'Parametros Generales'!$C$6*'Parametros Generales'!$J$9</f>
        <v>3895272.7272727285</v>
      </c>
      <c r="AC707" s="417">
        <f>+H707*'Parametros Generales'!$J$10*'Parametros Generales'!$C$6*'Parametros Generales'!$C$11</f>
        <v>14738498.767401624</v>
      </c>
      <c r="AD707" s="417"/>
      <c r="AE707" s="417"/>
      <c r="AF707" s="417"/>
      <c r="AG707" s="417"/>
      <c r="AH707" s="417"/>
      <c r="AI707" s="417"/>
      <c r="AJ707" s="417"/>
      <c r="AK707" s="436"/>
      <c r="AL707" s="822"/>
    </row>
    <row r="708" spans="1:38" s="33" customFormat="1" hidden="1" outlineLevel="1">
      <c r="A708" s="1150"/>
      <c r="B708" s="821">
        <v>47</v>
      </c>
      <c r="C708" s="371" t="s">
        <v>441</v>
      </c>
      <c r="D708" s="31">
        <f>+VLOOKUP(E708,Codigos!$A$1:$B$1123,2,0)</f>
        <v>47960</v>
      </c>
      <c r="E708" s="1111" t="s">
        <v>2040</v>
      </c>
      <c r="F708" s="1103">
        <v>1</v>
      </c>
      <c r="G708" s="30">
        <v>198</v>
      </c>
      <c r="H708" s="1061">
        <f>CEILING(G708,'Parametros Generales'!$C$8)</f>
        <v>200</v>
      </c>
      <c r="I708" s="1057" t="s">
        <v>468</v>
      </c>
      <c r="J708" s="1058">
        <v>200</v>
      </c>
      <c r="K708" s="1070" t="str">
        <f t="shared" si="56"/>
        <v>Ok</v>
      </c>
      <c r="L708" s="1077">
        <f t="shared" si="57"/>
        <v>0</v>
      </c>
      <c r="M708" s="1090">
        <f>+H708/'Parametros Generales'!$C$8</f>
        <v>8</v>
      </c>
      <c r="N708" s="1097"/>
      <c r="O708" s="1097"/>
      <c r="P708" s="1097"/>
      <c r="Q708" s="1097"/>
      <c r="R708" s="1097">
        <f>+(M708/'Parametros Generales'!$C$9)</f>
        <v>2</v>
      </c>
      <c r="S708" s="390"/>
      <c r="T708" s="390"/>
      <c r="U708" s="390"/>
      <c r="V708" s="389"/>
      <c r="W708" s="32">
        <f>+R708*'Componentes T.H.'!$Q$9*'Parametros Generales'!$C$6</f>
        <v>10037014.142000001</v>
      </c>
      <c r="X708" s="32">
        <f>(+VLOOKUP(C708,'Transporte y Viaticos'!$B$87:$L$120,2,0)*'Parametros Generales'!$C$7*R708)*(2/3)</f>
        <v>1556876.9096810224</v>
      </c>
      <c r="Y708" s="417"/>
      <c r="Z708" s="417"/>
      <c r="AA708" s="417"/>
      <c r="AB708" s="417">
        <f>+M708*'Parametros Generales'!$C$6*'Parametros Generales'!$J$9</f>
        <v>3895272.7272727285</v>
      </c>
      <c r="AC708" s="417">
        <f>+H708*'Parametros Generales'!$J$10*'Parametros Generales'!$C$6*'Parametros Generales'!$C$11</f>
        <v>14738498.767401624</v>
      </c>
      <c r="AD708" s="417"/>
      <c r="AE708" s="417"/>
      <c r="AF708" s="417"/>
      <c r="AG708" s="417"/>
      <c r="AH708" s="417"/>
      <c r="AI708" s="417"/>
      <c r="AJ708" s="417"/>
      <c r="AK708" s="436"/>
      <c r="AL708" s="822"/>
    </row>
    <row r="709" spans="1:38" s="33" customFormat="1" hidden="1" outlineLevel="1">
      <c r="A709" s="1150"/>
      <c r="B709" s="823">
        <v>47</v>
      </c>
      <c r="C709" s="373" t="s">
        <v>441</v>
      </c>
      <c r="D709" s="374">
        <f>+VLOOKUP(E709,Codigos!$A$1:$B$1123,2,0)</f>
        <v>47980</v>
      </c>
      <c r="E709" s="1113" t="s">
        <v>2041</v>
      </c>
      <c r="F709" s="1104">
        <v>1</v>
      </c>
      <c r="G709" s="375">
        <v>198</v>
      </c>
      <c r="H709" s="1062">
        <f>CEILING(G709,'Parametros Generales'!$C$8)</f>
        <v>200</v>
      </c>
      <c r="I709" s="1057" t="s">
        <v>469</v>
      </c>
      <c r="J709" s="1058">
        <v>200</v>
      </c>
      <c r="K709" s="1070" t="str">
        <f t="shared" si="56"/>
        <v>Ok</v>
      </c>
      <c r="L709" s="1077">
        <f t="shared" si="57"/>
        <v>0</v>
      </c>
      <c r="M709" s="1091">
        <f>+H709/'Parametros Generales'!$C$8</f>
        <v>8</v>
      </c>
      <c r="N709" s="1098"/>
      <c r="O709" s="1098"/>
      <c r="P709" s="1098"/>
      <c r="Q709" s="1098"/>
      <c r="R709" s="1098">
        <f>+(M709/'Parametros Generales'!$C$9)</f>
        <v>2</v>
      </c>
      <c r="S709" s="395"/>
      <c r="T709" s="395"/>
      <c r="U709" s="395"/>
      <c r="V709" s="396"/>
      <c r="W709" s="376">
        <f>+R709*'Componentes T.H.'!$Q$9*'Parametros Generales'!$C$6</f>
        <v>10037014.142000001</v>
      </c>
      <c r="X709" s="376">
        <f>(+VLOOKUP(C709,'Transporte y Viaticos'!$B$87:$L$120,2,0)*'Parametros Generales'!$C$7*R709)*(2/3)</f>
        <v>1556876.9096810224</v>
      </c>
      <c r="Y709" s="417"/>
      <c r="Z709" s="417"/>
      <c r="AA709" s="417"/>
      <c r="AB709" s="417">
        <f>+M709*'Parametros Generales'!$C$6*'Parametros Generales'!$J$9</f>
        <v>3895272.7272727285</v>
      </c>
      <c r="AC709" s="417">
        <f>+H709*'Parametros Generales'!$J$10*'Parametros Generales'!$C$6*'Parametros Generales'!$C$11</f>
        <v>14738498.767401624</v>
      </c>
      <c r="AD709" s="417"/>
      <c r="AE709" s="417"/>
      <c r="AF709" s="417"/>
      <c r="AG709" s="417"/>
      <c r="AH709" s="417"/>
      <c r="AI709" s="417"/>
      <c r="AJ709" s="417"/>
      <c r="AK709" s="436"/>
      <c r="AL709" s="822"/>
    </row>
    <row r="710" spans="1:38" s="33" customFormat="1" hidden="1" outlineLevel="1">
      <c r="A710" s="1150"/>
      <c r="B710" s="823">
        <f t="shared" ref="B710:B724" si="58">+B709</f>
        <v>47</v>
      </c>
      <c r="C710" s="373" t="str">
        <f t="shared" ref="C710:C724" si="59">+C709</f>
        <v>MAGDALENA</v>
      </c>
      <c r="D710" s="374"/>
      <c r="E710" s="1113"/>
      <c r="F710" s="1104"/>
      <c r="G710" s="375"/>
      <c r="H710" s="1062"/>
      <c r="I710" s="1057"/>
      <c r="J710" s="1058"/>
      <c r="K710" s="1070" t="str">
        <f t="shared" si="56"/>
        <v>Ok</v>
      </c>
      <c r="L710" s="1077">
        <f t="shared" si="57"/>
        <v>0</v>
      </c>
      <c r="M710" s="1091">
        <f>+H710/'Parametros Generales'!$C$8</f>
        <v>0</v>
      </c>
      <c r="N710" s="1098"/>
      <c r="O710" s="1098"/>
      <c r="P710" s="1098"/>
      <c r="Q710" s="1098"/>
      <c r="R710" s="1098">
        <f>+(M710/'Parametros Generales'!$C$9)</f>
        <v>0</v>
      </c>
      <c r="S710" s="395"/>
      <c r="T710" s="395"/>
      <c r="U710" s="395"/>
      <c r="V710" s="396"/>
      <c r="W710" s="376">
        <f>+R710*'Componentes T.H.'!$Q$9*'Parametros Generales'!$C$6</f>
        <v>0</v>
      </c>
      <c r="X710" s="376">
        <f>(+VLOOKUP(C710,'Transporte y Viaticos'!$B$87:$L$120,2,0)*'Parametros Generales'!$C$7*R710)*(2/3)</f>
        <v>0</v>
      </c>
      <c r="Y710" s="417"/>
      <c r="Z710" s="417"/>
      <c r="AA710" s="417"/>
      <c r="AB710" s="417">
        <f>+M710*'Parametros Generales'!$C$6*'Parametros Generales'!$J$9</f>
        <v>0</v>
      </c>
      <c r="AC710" s="417">
        <f>+H710*'Parametros Generales'!$J$10*'Parametros Generales'!$C$6*'Parametros Generales'!$C$11</f>
        <v>0</v>
      </c>
      <c r="AD710" s="417"/>
      <c r="AE710" s="417"/>
      <c r="AF710" s="417"/>
      <c r="AG710" s="417"/>
      <c r="AH710" s="417"/>
      <c r="AI710" s="417"/>
      <c r="AJ710" s="417"/>
      <c r="AK710" s="436"/>
      <c r="AL710" s="822"/>
    </row>
    <row r="711" spans="1:38" s="33" customFormat="1" hidden="1" outlineLevel="1">
      <c r="A711" s="1150"/>
      <c r="B711" s="823">
        <f t="shared" si="58"/>
        <v>47</v>
      </c>
      <c r="C711" s="373" t="str">
        <f t="shared" si="59"/>
        <v>MAGDALENA</v>
      </c>
      <c r="D711" s="374"/>
      <c r="E711" s="1113"/>
      <c r="F711" s="1104"/>
      <c r="G711" s="375"/>
      <c r="H711" s="1062"/>
      <c r="I711" s="1057"/>
      <c r="J711" s="1058"/>
      <c r="K711" s="1070" t="str">
        <f t="shared" si="56"/>
        <v>Ok</v>
      </c>
      <c r="L711" s="1077">
        <f t="shared" si="57"/>
        <v>0</v>
      </c>
      <c r="M711" s="1091">
        <f>+H711/'Parametros Generales'!$C$8</f>
        <v>0</v>
      </c>
      <c r="N711" s="1098"/>
      <c r="O711" s="1098"/>
      <c r="P711" s="1098"/>
      <c r="Q711" s="1098"/>
      <c r="R711" s="1098">
        <f>+(M711/'Parametros Generales'!$C$9)</f>
        <v>0</v>
      </c>
      <c r="S711" s="395"/>
      <c r="T711" s="395"/>
      <c r="U711" s="395"/>
      <c r="V711" s="396"/>
      <c r="W711" s="376">
        <f>+R711*'Componentes T.H.'!$Q$9*'Parametros Generales'!$C$6</f>
        <v>0</v>
      </c>
      <c r="X711" s="376">
        <f>(+VLOOKUP(C711,'Transporte y Viaticos'!$B$87:$L$120,2,0)*'Parametros Generales'!$C$7*R711)*(2/3)</f>
        <v>0</v>
      </c>
      <c r="Y711" s="417"/>
      <c r="Z711" s="417"/>
      <c r="AA711" s="417"/>
      <c r="AB711" s="417">
        <f>+M711*'Parametros Generales'!$C$6*'Parametros Generales'!$J$9</f>
        <v>0</v>
      </c>
      <c r="AC711" s="417">
        <f>+H711*'Parametros Generales'!$J$10*'Parametros Generales'!$C$6*'Parametros Generales'!$C$11</f>
        <v>0</v>
      </c>
      <c r="AD711" s="417"/>
      <c r="AE711" s="417"/>
      <c r="AF711" s="417"/>
      <c r="AG711" s="417"/>
      <c r="AH711" s="417"/>
      <c r="AI711" s="417"/>
      <c r="AJ711" s="417"/>
      <c r="AK711" s="436"/>
      <c r="AL711" s="822"/>
    </row>
    <row r="712" spans="1:38" s="33" customFormat="1" hidden="1" outlineLevel="1">
      <c r="A712" s="1150"/>
      <c r="B712" s="823">
        <f t="shared" si="58"/>
        <v>47</v>
      </c>
      <c r="C712" s="373" t="str">
        <f t="shared" si="59"/>
        <v>MAGDALENA</v>
      </c>
      <c r="D712" s="374"/>
      <c r="E712" s="1113"/>
      <c r="F712" s="1104"/>
      <c r="G712" s="375"/>
      <c r="H712" s="1062"/>
      <c r="I712" s="1057"/>
      <c r="J712" s="1058"/>
      <c r="K712" s="1070" t="str">
        <f t="shared" si="56"/>
        <v>Ok</v>
      </c>
      <c r="L712" s="1077">
        <f t="shared" si="57"/>
        <v>0</v>
      </c>
      <c r="M712" s="1091">
        <f>+H712/'Parametros Generales'!$C$8</f>
        <v>0</v>
      </c>
      <c r="N712" s="1098"/>
      <c r="O712" s="1098"/>
      <c r="P712" s="1098"/>
      <c r="Q712" s="1098"/>
      <c r="R712" s="1098">
        <f>+(M712/'Parametros Generales'!$C$9)</f>
        <v>0</v>
      </c>
      <c r="S712" s="395"/>
      <c r="T712" s="395"/>
      <c r="U712" s="395"/>
      <c r="V712" s="396"/>
      <c r="W712" s="376">
        <f>+R712*'Componentes T.H.'!$Q$9*'Parametros Generales'!$C$6</f>
        <v>0</v>
      </c>
      <c r="X712" s="376">
        <f>(+VLOOKUP(C712,'Transporte y Viaticos'!$B$87:$L$120,2,0)*'Parametros Generales'!$C$7*R712)*(2/3)</f>
        <v>0</v>
      </c>
      <c r="Y712" s="417"/>
      <c r="Z712" s="417"/>
      <c r="AA712" s="417"/>
      <c r="AB712" s="417">
        <f>+M712*'Parametros Generales'!$C$6*'Parametros Generales'!$J$9</f>
        <v>0</v>
      </c>
      <c r="AC712" s="417">
        <f>+H712*'Parametros Generales'!$J$10*'Parametros Generales'!$C$6*'Parametros Generales'!$C$11</f>
        <v>0</v>
      </c>
      <c r="AD712" s="417"/>
      <c r="AE712" s="417"/>
      <c r="AF712" s="417"/>
      <c r="AG712" s="417"/>
      <c r="AH712" s="417"/>
      <c r="AI712" s="417"/>
      <c r="AJ712" s="417"/>
      <c r="AK712" s="436"/>
      <c r="AL712" s="822"/>
    </row>
    <row r="713" spans="1:38" s="33" customFormat="1" hidden="1" outlineLevel="1">
      <c r="A713" s="1150"/>
      <c r="B713" s="823">
        <f t="shared" si="58"/>
        <v>47</v>
      </c>
      <c r="C713" s="373" t="str">
        <f t="shared" si="59"/>
        <v>MAGDALENA</v>
      </c>
      <c r="D713" s="374"/>
      <c r="E713" s="1113"/>
      <c r="F713" s="1104"/>
      <c r="G713" s="375"/>
      <c r="H713" s="1062"/>
      <c r="I713" s="1057"/>
      <c r="J713" s="1058"/>
      <c r="K713" s="1070" t="str">
        <f t="shared" si="56"/>
        <v>Ok</v>
      </c>
      <c r="L713" s="1077">
        <f t="shared" si="57"/>
        <v>0</v>
      </c>
      <c r="M713" s="1091">
        <f>+H713/'Parametros Generales'!$C$8</f>
        <v>0</v>
      </c>
      <c r="N713" s="1098"/>
      <c r="O713" s="1098"/>
      <c r="P713" s="1098"/>
      <c r="Q713" s="1098"/>
      <c r="R713" s="1098">
        <f>+(M713/'Parametros Generales'!$C$9)</f>
        <v>0</v>
      </c>
      <c r="S713" s="395"/>
      <c r="T713" s="395"/>
      <c r="U713" s="395"/>
      <c r="V713" s="396"/>
      <c r="W713" s="376">
        <f>+R713*'Componentes T.H.'!$Q$9*'Parametros Generales'!$C$6</f>
        <v>0</v>
      </c>
      <c r="X713" s="376">
        <f>(+VLOOKUP(C713,'Transporte y Viaticos'!$B$87:$L$120,2,0)*'Parametros Generales'!$C$7*R713)*(2/3)</f>
        <v>0</v>
      </c>
      <c r="Y713" s="417"/>
      <c r="Z713" s="417"/>
      <c r="AA713" s="417"/>
      <c r="AB713" s="417">
        <f>+M713*'Parametros Generales'!$C$6*'Parametros Generales'!$J$9</f>
        <v>0</v>
      </c>
      <c r="AC713" s="417">
        <f>+H713*'Parametros Generales'!$J$10*'Parametros Generales'!$C$6*'Parametros Generales'!$C$11</f>
        <v>0</v>
      </c>
      <c r="AD713" s="417"/>
      <c r="AE713" s="417"/>
      <c r="AF713" s="417"/>
      <c r="AG713" s="417"/>
      <c r="AH713" s="417"/>
      <c r="AI713" s="417"/>
      <c r="AJ713" s="417"/>
      <c r="AK713" s="436"/>
      <c r="AL713" s="822"/>
    </row>
    <row r="714" spans="1:38" s="33" customFormat="1" hidden="1" outlineLevel="1">
      <c r="A714" s="1150"/>
      <c r="B714" s="823">
        <f t="shared" si="58"/>
        <v>47</v>
      </c>
      <c r="C714" s="373" t="str">
        <f t="shared" si="59"/>
        <v>MAGDALENA</v>
      </c>
      <c r="D714" s="374"/>
      <c r="E714" s="1113"/>
      <c r="F714" s="1104"/>
      <c r="G714" s="375"/>
      <c r="H714" s="1062"/>
      <c r="I714" s="1057"/>
      <c r="J714" s="1058"/>
      <c r="K714" s="1070" t="str">
        <f t="shared" si="56"/>
        <v>Ok</v>
      </c>
      <c r="L714" s="1077">
        <f t="shared" si="57"/>
        <v>0</v>
      </c>
      <c r="M714" s="1091">
        <f>+H714/'Parametros Generales'!$C$8</f>
        <v>0</v>
      </c>
      <c r="N714" s="1098"/>
      <c r="O714" s="1098"/>
      <c r="P714" s="1098"/>
      <c r="Q714" s="1098"/>
      <c r="R714" s="1098">
        <f>+(M714/'Parametros Generales'!$C$9)</f>
        <v>0</v>
      </c>
      <c r="S714" s="395"/>
      <c r="T714" s="395"/>
      <c r="U714" s="395"/>
      <c r="V714" s="396"/>
      <c r="W714" s="376">
        <f>+R714*'Componentes T.H.'!$Q$9*'Parametros Generales'!$C$6</f>
        <v>0</v>
      </c>
      <c r="X714" s="376">
        <f>(+VLOOKUP(C714,'Transporte y Viaticos'!$B$87:$L$120,2,0)*'Parametros Generales'!$C$7*R714)*(2/3)</f>
        <v>0</v>
      </c>
      <c r="Y714" s="417"/>
      <c r="Z714" s="417"/>
      <c r="AA714" s="417"/>
      <c r="AB714" s="417">
        <f>+M714*'Parametros Generales'!$C$6*'Parametros Generales'!$J$9</f>
        <v>0</v>
      </c>
      <c r="AC714" s="417">
        <f>+H714*'Parametros Generales'!$J$10*'Parametros Generales'!$C$6*'Parametros Generales'!$C$11</f>
        <v>0</v>
      </c>
      <c r="AD714" s="417"/>
      <c r="AE714" s="417"/>
      <c r="AF714" s="417"/>
      <c r="AG714" s="417"/>
      <c r="AH714" s="417"/>
      <c r="AI714" s="417"/>
      <c r="AJ714" s="417"/>
      <c r="AK714" s="436"/>
      <c r="AL714" s="822"/>
    </row>
    <row r="715" spans="1:38" s="33" customFormat="1" hidden="1" outlineLevel="1">
      <c r="A715" s="1150"/>
      <c r="B715" s="823">
        <f t="shared" si="58"/>
        <v>47</v>
      </c>
      <c r="C715" s="373" t="str">
        <f t="shared" si="59"/>
        <v>MAGDALENA</v>
      </c>
      <c r="D715" s="374"/>
      <c r="E715" s="1113"/>
      <c r="F715" s="1104"/>
      <c r="G715" s="375"/>
      <c r="H715" s="1062"/>
      <c r="I715" s="1057"/>
      <c r="J715" s="1058"/>
      <c r="K715" s="1070" t="str">
        <f t="shared" si="56"/>
        <v>Ok</v>
      </c>
      <c r="L715" s="1077">
        <f t="shared" si="57"/>
        <v>0</v>
      </c>
      <c r="M715" s="1091">
        <f>+H715/'Parametros Generales'!$C$8</f>
        <v>0</v>
      </c>
      <c r="N715" s="1098"/>
      <c r="O715" s="1098"/>
      <c r="P715" s="1098"/>
      <c r="Q715" s="1098"/>
      <c r="R715" s="1098">
        <f>+(M715/'Parametros Generales'!$C$9)</f>
        <v>0</v>
      </c>
      <c r="S715" s="395"/>
      <c r="T715" s="395"/>
      <c r="U715" s="395"/>
      <c r="V715" s="396"/>
      <c r="W715" s="376">
        <f>+R715*'Componentes T.H.'!$Q$9*'Parametros Generales'!$C$6</f>
        <v>0</v>
      </c>
      <c r="X715" s="376">
        <f>(+VLOOKUP(C715,'Transporte y Viaticos'!$B$87:$L$120,2,0)*'Parametros Generales'!$C$7*R715)*(2/3)</f>
        <v>0</v>
      </c>
      <c r="Y715" s="417"/>
      <c r="Z715" s="417"/>
      <c r="AA715" s="417"/>
      <c r="AB715" s="417">
        <f>+M715*'Parametros Generales'!$C$6*'Parametros Generales'!$J$9</f>
        <v>0</v>
      </c>
      <c r="AC715" s="417">
        <f>+H715*'Parametros Generales'!$J$10*'Parametros Generales'!$C$6*'Parametros Generales'!$C$11</f>
        <v>0</v>
      </c>
      <c r="AD715" s="417"/>
      <c r="AE715" s="417"/>
      <c r="AF715" s="417"/>
      <c r="AG715" s="417"/>
      <c r="AH715" s="417"/>
      <c r="AI715" s="417"/>
      <c r="AJ715" s="417"/>
      <c r="AK715" s="436"/>
      <c r="AL715" s="822"/>
    </row>
    <row r="716" spans="1:38" s="33" customFormat="1" hidden="1" outlineLevel="1">
      <c r="A716" s="1150"/>
      <c r="B716" s="823">
        <f t="shared" si="58"/>
        <v>47</v>
      </c>
      <c r="C716" s="373" t="str">
        <f t="shared" si="59"/>
        <v>MAGDALENA</v>
      </c>
      <c r="D716" s="374"/>
      <c r="E716" s="1113"/>
      <c r="F716" s="1104"/>
      <c r="G716" s="375"/>
      <c r="H716" s="1062"/>
      <c r="I716" s="1057"/>
      <c r="J716" s="1058"/>
      <c r="K716" s="1070" t="str">
        <f t="shared" si="56"/>
        <v>Ok</v>
      </c>
      <c r="L716" s="1077">
        <f t="shared" si="57"/>
        <v>0</v>
      </c>
      <c r="M716" s="1091">
        <f>+H716/'Parametros Generales'!$C$8</f>
        <v>0</v>
      </c>
      <c r="N716" s="1098"/>
      <c r="O716" s="1098"/>
      <c r="P716" s="1098"/>
      <c r="Q716" s="1098"/>
      <c r="R716" s="1098">
        <f>+(M716/'Parametros Generales'!$C$9)</f>
        <v>0</v>
      </c>
      <c r="S716" s="395"/>
      <c r="T716" s="395"/>
      <c r="U716" s="395"/>
      <c r="V716" s="396"/>
      <c r="W716" s="376">
        <f>+R716*'Componentes T.H.'!$Q$9*'Parametros Generales'!$C$6</f>
        <v>0</v>
      </c>
      <c r="X716" s="376">
        <f>(+VLOOKUP(C716,'Transporte y Viaticos'!$B$87:$L$120,2,0)*'Parametros Generales'!$C$7*R716)*(2/3)</f>
        <v>0</v>
      </c>
      <c r="Y716" s="417"/>
      <c r="Z716" s="417"/>
      <c r="AA716" s="417"/>
      <c r="AB716" s="417">
        <f>+M716*'Parametros Generales'!$C$6*'Parametros Generales'!$J$9</f>
        <v>0</v>
      </c>
      <c r="AC716" s="417">
        <f>+H716*'Parametros Generales'!$J$10*'Parametros Generales'!$C$6*'Parametros Generales'!$C$11</f>
        <v>0</v>
      </c>
      <c r="AD716" s="417"/>
      <c r="AE716" s="417"/>
      <c r="AF716" s="417"/>
      <c r="AG716" s="417"/>
      <c r="AH716" s="417"/>
      <c r="AI716" s="417"/>
      <c r="AJ716" s="417"/>
      <c r="AK716" s="436"/>
      <c r="AL716" s="822"/>
    </row>
    <row r="717" spans="1:38" s="33" customFormat="1" hidden="1" outlineLevel="1">
      <c r="A717" s="1150"/>
      <c r="B717" s="823">
        <f t="shared" si="58"/>
        <v>47</v>
      </c>
      <c r="C717" s="373" t="str">
        <f t="shared" si="59"/>
        <v>MAGDALENA</v>
      </c>
      <c r="D717" s="374"/>
      <c r="E717" s="1113"/>
      <c r="F717" s="1104"/>
      <c r="G717" s="375"/>
      <c r="H717" s="1062"/>
      <c r="I717" s="1057"/>
      <c r="J717" s="1058"/>
      <c r="K717" s="1070" t="str">
        <f t="shared" si="56"/>
        <v>Ok</v>
      </c>
      <c r="L717" s="1077">
        <f t="shared" si="57"/>
        <v>0</v>
      </c>
      <c r="M717" s="1091">
        <f>+H717/'Parametros Generales'!$C$8</f>
        <v>0</v>
      </c>
      <c r="N717" s="1098"/>
      <c r="O717" s="1098"/>
      <c r="P717" s="1098"/>
      <c r="Q717" s="1098"/>
      <c r="R717" s="1098">
        <f>+(M717/'Parametros Generales'!$C$9)</f>
        <v>0</v>
      </c>
      <c r="S717" s="395"/>
      <c r="T717" s="395"/>
      <c r="U717" s="395"/>
      <c r="V717" s="396"/>
      <c r="W717" s="376">
        <f>+R717*'Componentes T.H.'!$Q$9*'Parametros Generales'!$C$6</f>
        <v>0</v>
      </c>
      <c r="X717" s="376">
        <f>(+VLOOKUP(C717,'Transporte y Viaticos'!$B$87:$L$120,2,0)*'Parametros Generales'!$C$7*R717)*(2/3)</f>
        <v>0</v>
      </c>
      <c r="Y717" s="417"/>
      <c r="Z717" s="417"/>
      <c r="AA717" s="417"/>
      <c r="AB717" s="417">
        <f>+M717*'Parametros Generales'!$C$6*'Parametros Generales'!$J$9</f>
        <v>0</v>
      </c>
      <c r="AC717" s="417">
        <f>+H717*'Parametros Generales'!$J$10*'Parametros Generales'!$C$6*'Parametros Generales'!$C$11</f>
        <v>0</v>
      </c>
      <c r="AD717" s="417"/>
      <c r="AE717" s="417"/>
      <c r="AF717" s="417"/>
      <c r="AG717" s="417"/>
      <c r="AH717" s="417"/>
      <c r="AI717" s="417"/>
      <c r="AJ717" s="417"/>
      <c r="AK717" s="436"/>
      <c r="AL717" s="822"/>
    </row>
    <row r="718" spans="1:38" s="33" customFormat="1" hidden="1" outlineLevel="1">
      <c r="A718" s="1150"/>
      <c r="B718" s="823">
        <f t="shared" si="58"/>
        <v>47</v>
      </c>
      <c r="C718" s="373" t="str">
        <f t="shared" si="59"/>
        <v>MAGDALENA</v>
      </c>
      <c r="D718" s="374"/>
      <c r="E718" s="1113"/>
      <c r="F718" s="1104"/>
      <c r="G718" s="375"/>
      <c r="H718" s="1062"/>
      <c r="I718" s="1057"/>
      <c r="J718" s="1058"/>
      <c r="K718" s="1070" t="str">
        <f t="shared" si="56"/>
        <v>Ok</v>
      </c>
      <c r="L718" s="1077">
        <f t="shared" si="57"/>
        <v>0</v>
      </c>
      <c r="M718" s="1091">
        <f>+H718/'Parametros Generales'!$C$8</f>
        <v>0</v>
      </c>
      <c r="N718" s="1098"/>
      <c r="O718" s="1098"/>
      <c r="P718" s="1098"/>
      <c r="Q718" s="1098"/>
      <c r="R718" s="1098">
        <f>+(M718/'Parametros Generales'!$C$9)</f>
        <v>0</v>
      </c>
      <c r="S718" s="395"/>
      <c r="T718" s="395"/>
      <c r="U718" s="395"/>
      <c r="V718" s="396"/>
      <c r="W718" s="376">
        <f>+R718*'Componentes T.H.'!$Q$9*'Parametros Generales'!$C$6</f>
        <v>0</v>
      </c>
      <c r="X718" s="376">
        <f>(+VLOOKUP(C718,'Transporte y Viaticos'!$B$87:$L$120,2,0)*'Parametros Generales'!$C$7*R718)*(2/3)</f>
        <v>0</v>
      </c>
      <c r="Y718" s="417"/>
      <c r="Z718" s="417"/>
      <c r="AA718" s="417"/>
      <c r="AB718" s="417">
        <f>+M718*'Parametros Generales'!$C$6*'Parametros Generales'!$J$9</f>
        <v>0</v>
      </c>
      <c r="AC718" s="417">
        <f>+H718*'Parametros Generales'!$J$10*'Parametros Generales'!$C$6*'Parametros Generales'!$C$11</f>
        <v>0</v>
      </c>
      <c r="AD718" s="417"/>
      <c r="AE718" s="417"/>
      <c r="AF718" s="417"/>
      <c r="AG718" s="417"/>
      <c r="AH718" s="417"/>
      <c r="AI718" s="417"/>
      <c r="AJ718" s="417"/>
      <c r="AK718" s="436"/>
      <c r="AL718" s="822"/>
    </row>
    <row r="719" spans="1:38" s="33" customFormat="1" hidden="1" outlineLevel="1">
      <c r="A719" s="1150"/>
      <c r="B719" s="823">
        <f t="shared" si="58"/>
        <v>47</v>
      </c>
      <c r="C719" s="373" t="str">
        <f t="shared" si="59"/>
        <v>MAGDALENA</v>
      </c>
      <c r="D719" s="374"/>
      <c r="E719" s="1113"/>
      <c r="F719" s="1104"/>
      <c r="G719" s="375"/>
      <c r="H719" s="1062"/>
      <c r="I719" s="1057"/>
      <c r="J719" s="1058"/>
      <c r="K719" s="1070" t="str">
        <f t="shared" si="56"/>
        <v>Ok</v>
      </c>
      <c r="L719" s="1077">
        <f t="shared" si="57"/>
        <v>0</v>
      </c>
      <c r="M719" s="1091">
        <f>+H719/'Parametros Generales'!$C$8</f>
        <v>0</v>
      </c>
      <c r="N719" s="1098"/>
      <c r="O719" s="1098"/>
      <c r="P719" s="1098"/>
      <c r="Q719" s="1098"/>
      <c r="R719" s="1098">
        <f>+(M719/'Parametros Generales'!$C$9)</f>
        <v>0</v>
      </c>
      <c r="S719" s="395"/>
      <c r="T719" s="395"/>
      <c r="U719" s="395"/>
      <c r="V719" s="396"/>
      <c r="W719" s="376">
        <f>+R719*'Componentes T.H.'!$Q$9*'Parametros Generales'!$C$6</f>
        <v>0</v>
      </c>
      <c r="X719" s="376">
        <f>(+VLOOKUP(C719,'Transporte y Viaticos'!$B$87:$L$120,2,0)*'Parametros Generales'!$C$7*R719)*(2/3)</f>
        <v>0</v>
      </c>
      <c r="Y719" s="417"/>
      <c r="Z719" s="417"/>
      <c r="AA719" s="417"/>
      <c r="AB719" s="417">
        <f>+M719*'Parametros Generales'!$C$6*'Parametros Generales'!$J$9</f>
        <v>0</v>
      </c>
      <c r="AC719" s="417">
        <f>+H719*'Parametros Generales'!$J$10*'Parametros Generales'!$C$6*'Parametros Generales'!$C$11</f>
        <v>0</v>
      </c>
      <c r="AD719" s="417"/>
      <c r="AE719" s="417"/>
      <c r="AF719" s="417"/>
      <c r="AG719" s="417"/>
      <c r="AH719" s="417"/>
      <c r="AI719" s="417"/>
      <c r="AJ719" s="417"/>
      <c r="AK719" s="436"/>
      <c r="AL719" s="822"/>
    </row>
    <row r="720" spans="1:38" s="33" customFormat="1" hidden="1" outlineLevel="1">
      <c r="A720" s="1150"/>
      <c r="B720" s="823">
        <f t="shared" si="58"/>
        <v>47</v>
      </c>
      <c r="C720" s="373" t="str">
        <f t="shared" si="59"/>
        <v>MAGDALENA</v>
      </c>
      <c r="D720" s="374"/>
      <c r="E720" s="1113"/>
      <c r="F720" s="1104"/>
      <c r="G720" s="375"/>
      <c r="H720" s="1062"/>
      <c r="I720" s="1057"/>
      <c r="J720" s="1058"/>
      <c r="K720" s="1070" t="str">
        <f t="shared" si="56"/>
        <v>Ok</v>
      </c>
      <c r="L720" s="1077">
        <f t="shared" si="57"/>
        <v>0</v>
      </c>
      <c r="M720" s="1091">
        <f>+H720/'Parametros Generales'!$C$8</f>
        <v>0</v>
      </c>
      <c r="N720" s="1098"/>
      <c r="O720" s="1098"/>
      <c r="P720" s="1098"/>
      <c r="Q720" s="1098"/>
      <c r="R720" s="1098">
        <f>+(M720/'Parametros Generales'!$C$9)</f>
        <v>0</v>
      </c>
      <c r="S720" s="395"/>
      <c r="T720" s="395"/>
      <c r="U720" s="395"/>
      <c r="V720" s="396"/>
      <c r="W720" s="376">
        <f>+R720*'Componentes T.H.'!$Q$9*'Parametros Generales'!$C$6</f>
        <v>0</v>
      </c>
      <c r="X720" s="376">
        <f>(+VLOOKUP(C720,'Transporte y Viaticos'!$B$87:$L$120,2,0)*'Parametros Generales'!$C$7*R720)*(2/3)</f>
        <v>0</v>
      </c>
      <c r="Y720" s="417"/>
      <c r="Z720" s="417"/>
      <c r="AA720" s="417"/>
      <c r="AB720" s="417">
        <f>+M720*'Parametros Generales'!$C$6*'Parametros Generales'!$J$9</f>
        <v>0</v>
      </c>
      <c r="AC720" s="417">
        <f>+H720*'Parametros Generales'!$J$10*'Parametros Generales'!$C$6*'Parametros Generales'!$C$11</f>
        <v>0</v>
      </c>
      <c r="AD720" s="417"/>
      <c r="AE720" s="417"/>
      <c r="AF720" s="417"/>
      <c r="AG720" s="417"/>
      <c r="AH720" s="417"/>
      <c r="AI720" s="417"/>
      <c r="AJ720" s="417"/>
      <c r="AK720" s="436"/>
      <c r="AL720" s="822"/>
    </row>
    <row r="721" spans="1:38" s="33" customFormat="1" hidden="1" outlineLevel="1">
      <c r="A721" s="1150"/>
      <c r="B721" s="823">
        <f t="shared" si="58"/>
        <v>47</v>
      </c>
      <c r="C721" s="373" t="str">
        <f t="shared" si="59"/>
        <v>MAGDALENA</v>
      </c>
      <c r="D721" s="374"/>
      <c r="E721" s="1113"/>
      <c r="F721" s="1104"/>
      <c r="G721" s="375"/>
      <c r="H721" s="1062"/>
      <c r="I721" s="1057"/>
      <c r="J721" s="1058"/>
      <c r="K721" s="1070" t="str">
        <f t="shared" si="56"/>
        <v>Ok</v>
      </c>
      <c r="L721" s="1077">
        <f t="shared" si="57"/>
        <v>0</v>
      </c>
      <c r="M721" s="1091">
        <f>+H721/'Parametros Generales'!$C$8</f>
        <v>0</v>
      </c>
      <c r="N721" s="1098"/>
      <c r="O721" s="1098"/>
      <c r="P721" s="1098"/>
      <c r="Q721" s="1098"/>
      <c r="R721" s="1098">
        <f>+(M721/'Parametros Generales'!$C$9)</f>
        <v>0</v>
      </c>
      <c r="S721" s="395"/>
      <c r="T721" s="395"/>
      <c r="U721" s="395"/>
      <c r="V721" s="396"/>
      <c r="W721" s="376">
        <f>+R721*'Componentes T.H.'!$Q$9*'Parametros Generales'!$C$6</f>
        <v>0</v>
      </c>
      <c r="X721" s="376">
        <f>(+VLOOKUP(C721,'Transporte y Viaticos'!$B$87:$L$120,2,0)*'Parametros Generales'!$C$7*R721)*(2/3)</f>
        <v>0</v>
      </c>
      <c r="Y721" s="417"/>
      <c r="Z721" s="417"/>
      <c r="AA721" s="417"/>
      <c r="AB721" s="417">
        <f>+M721*'Parametros Generales'!$C$6*'Parametros Generales'!$J$9</f>
        <v>0</v>
      </c>
      <c r="AC721" s="417">
        <f>+H721*'Parametros Generales'!$J$10*'Parametros Generales'!$C$6*'Parametros Generales'!$C$11</f>
        <v>0</v>
      </c>
      <c r="AD721" s="417"/>
      <c r="AE721" s="417"/>
      <c r="AF721" s="417"/>
      <c r="AG721" s="417"/>
      <c r="AH721" s="417"/>
      <c r="AI721" s="417"/>
      <c r="AJ721" s="417"/>
      <c r="AK721" s="436"/>
      <c r="AL721" s="822"/>
    </row>
    <row r="722" spans="1:38" s="33" customFormat="1" hidden="1" outlineLevel="1">
      <c r="A722" s="1150"/>
      <c r="B722" s="823">
        <f t="shared" si="58"/>
        <v>47</v>
      </c>
      <c r="C722" s="373" t="str">
        <f t="shared" si="59"/>
        <v>MAGDALENA</v>
      </c>
      <c r="D722" s="374"/>
      <c r="E722" s="1113"/>
      <c r="F722" s="1104"/>
      <c r="G722" s="375"/>
      <c r="H722" s="1062"/>
      <c r="I722" s="1057"/>
      <c r="J722" s="1058"/>
      <c r="K722" s="1070" t="str">
        <f t="shared" si="56"/>
        <v>Ok</v>
      </c>
      <c r="L722" s="1077">
        <f t="shared" si="57"/>
        <v>0</v>
      </c>
      <c r="M722" s="1091">
        <f>+H722/'Parametros Generales'!$C$8</f>
        <v>0</v>
      </c>
      <c r="N722" s="1098"/>
      <c r="O722" s="1098"/>
      <c r="P722" s="1098"/>
      <c r="Q722" s="1098"/>
      <c r="R722" s="1098">
        <f>+(M722/'Parametros Generales'!$C$9)</f>
        <v>0</v>
      </c>
      <c r="S722" s="395"/>
      <c r="T722" s="395"/>
      <c r="U722" s="395"/>
      <c r="V722" s="396"/>
      <c r="W722" s="376">
        <f>+R722*'Componentes T.H.'!$Q$9*'Parametros Generales'!$C$6</f>
        <v>0</v>
      </c>
      <c r="X722" s="376">
        <f>(+VLOOKUP(C722,'Transporte y Viaticos'!$B$87:$L$120,2,0)*'Parametros Generales'!$C$7*R722)*(2/3)</f>
        <v>0</v>
      </c>
      <c r="Y722" s="417"/>
      <c r="Z722" s="417"/>
      <c r="AA722" s="417"/>
      <c r="AB722" s="417">
        <f>+M722*'Parametros Generales'!$C$6*'Parametros Generales'!$J$9</f>
        <v>0</v>
      </c>
      <c r="AC722" s="417">
        <f>+H722*'Parametros Generales'!$J$10*'Parametros Generales'!$C$6*'Parametros Generales'!$C$11</f>
        <v>0</v>
      </c>
      <c r="AD722" s="417"/>
      <c r="AE722" s="417"/>
      <c r="AF722" s="417"/>
      <c r="AG722" s="417"/>
      <c r="AH722" s="417"/>
      <c r="AI722" s="417"/>
      <c r="AJ722" s="417"/>
      <c r="AK722" s="436"/>
      <c r="AL722" s="822"/>
    </row>
    <row r="723" spans="1:38" s="33" customFormat="1" hidden="1" outlineLevel="1">
      <c r="A723" s="1150"/>
      <c r="B723" s="823">
        <f t="shared" si="58"/>
        <v>47</v>
      </c>
      <c r="C723" s="373" t="str">
        <f t="shared" si="59"/>
        <v>MAGDALENA</v>
      </c>
      <c r="D723" s="374"/>
      <c r="E723" s="1113"/>
      <c r="F723" s="1104"/>
      <c r="G723" s="375"/>
      <c r="H723" s="1062"/>
      <c r="I723" s="1057"/>
      <c r="J723" s="1058"/>
      <c r="K723" s="1070" t="str">
        <f t="shared" si="56"/>
        <v>Ok</v>
      </c>
      <c r="L723" s="1077">
        <f t="shared" si="57"/>
        <v>0</v>
      </c>
      <c r="M723" s="1091">
        <f>+H723/'Parametros Generales'!$C$8</f>
        <v>0</v>
      </c>
      <c r="N723" s="1098"/>
      <c r="O723" s="1098"/>
      <c r="P723" s="1098"/>
      <c r="Q723" s="1098"/>
      <c r="R723" s="1098">
        <f>+(M723/'Parametros Generales'!$C$9)</f>
        <v>0</v>
      </c>
      <c r="S723" s="395"/>
      <c r="T723" s="395"/>
      <c r="U723" s="395"/>
      <c r="V723" s="396"/>
      <c r="W723" s="376">
        <f>+R723*'Componentes T.H.'!$Q$9*'Parametros Generales'!$C$6</f>
        <v>0</v>
      </c>
      <c r="X723" s="376">
        <f>(+VLOOKUP(C723,'Transporte y Viaticos'!$B$87:$L$120,2,0)*'Parametros Generales'!$C$7*R723)*(2/3)</f>
        <v>0</v>
      </c>
      <c r="Y723" s="417"/>
      <c r="Z723" s="417"/>
      <c r="AA723" s="417"/>
      <c r="AB723" s="417">
        <f>+M723*'Parametros Generales'!$C$6*'Parametros Generales'!$J$9</f>
        <v>0</v>
      </c>
      <c r="AC723" s="417">
        <f>+H723*'Parametros Generales'!$J$10*'Parametros Generales'!$C$6*'Parametros Generales'!$C$11</f>
        <v>0</v>
      </c>
      <c r="AD723" s="417"/>
      <c r="AE723" s="417"/>
      <c r="AF723" s="417"/>
      <c r="AG723" s="417"/>
      <c r="AH723" s="417"/>
      <c r="AI723" s="417"/>
      <c r="AJ723" s="417"/>
      <c r="AK723" s="436"/>
      <c r="AL723" s="822"/>
    </row>
    <row r="724" spans="1:38" s="33" customFormat="1" hidden="1" outlineLevel="1">
      <c r="A724" s="1150"/>
      <c r="B724" s="823">
        <f t="shared" si="58"/>
        <v>47</v>
      </c>
      <c r="C724" s="373" t="str">
        <f t="shared" si="59"/>
        <v>MAGDALENA</v>
      </c>
      <c r="D724" s="374"/>
      <c r="E724" s="1113"/>
      <c r="F724" s="1104"/>
      <c r="G724" s="375"/>
      <c r="H724" s="1062"/>
      <c r="I724" s="1057"/>
      <c r="J724" s="1058"/>
      <c r="K724" s="1070" t="str">
        <f t="shared" si="56"/>
        <v>Ok</v>
      </c>
      <c r="L724" s="1077">
        <f t="shared" si="57"/>
        <v>0</v>
      </c>
      <c r="M724" s="1091">
        <f>+H724/'Parametros Generales'!$C$8</f>
        <v>0</v>
      </c>
      <c r="N724" s="1098"/>
      <c r="O724" s="1098"/>
      <c r="P724" s="1098"/>
      <c r="Q724" s="1098"/>
      <c r="R724" s="1098">
        <f>+(M724/'Parametros Generales'!$C$9)</f>
        <v>0</v>
      </c>
      <c r="S724" s="395"/>
      <c r="T724" s="395"/>
      <c r="U724" s="395"/>
      <c r="V724" s="396"/>
      <c r="W724" s="376">
        <f>+R724*'Componentes T.H.'!$Q$9*'Parametros Generales'!$C$6</f>
        <v>0</v>
      </c>
      <c r="X724" s="376">
        <f>(+VLOOKUP(C724,'Transporte y Viaticos'!$B$87:$L$120,2,0)*'Parametros Generales'!$C$7*R724)*(2/3)</f>
        <v>0</v>
      </c>
      <c r="Y724" s="417"/>
      <c r="Z724" s="417"/>
      <c r="AA724" s="417"/>
      <c r="AB724" s="417">
        <f>+M724*'Parametros Generales'!$C$6*'Parametros Generales'!$J$9</f>
        <v>0</v>
      </c>
      <c r="AC724" s="417">
        <f>+H724*'Parametros Generales'!$J$10*'Parametros Generales'!$C$6*'Parametros Generales'!$C$11</f>
        <v>0</v>
      </c>
      <c r="AD724" s="417"/>
      <c r="AE724" s="417"/>
      <c r="AF724" s="417"/>
      <c r="AG724" s="417"/>
      <c r="AH724" s="417"/>
      <c r="AI724" s="417"/>
      <c r="AJ724" s="417"/>
      <c r="AK724" s="436"/>
      <c r="AL724" s="822"/>
    </row>
    <row r="725" spans="1:38" s="392" customFormat="1" collapsed="1">
      <c r="A725" s="1151">
        <v>16</v>
      </c>
      <c r="B725" s="824">
        <v>50</v>
      </c>
      <c r="C725" s="385" t="s">
        <v>470</v>
      </c>
      <c r="D725" s="386"/>
      <c r="E725" s="1114" t="s">
        <v>470</v>
      </c>
      <c r="F725" s="1105">
        <f>SUM(F726:F739)</f>
        <v>14</v>
      </c>
      <c r="G725" s="388">
        <f>+SUM(G726:G739)</f>
        <v>3366</v>
      </c>
      <c r="H725" s="512">
        <f>+SUM(H726:H756)</f>
        <v>3400</v>
      </c>
      <c r="I725" s="1057" t="s">
        <v>470</v>
      </c>
      <c r="J725" s="1067">
        <v>3400</v>
      </c>
      <c r="K725" s="1069" t="str">
        <f t="shared" si="56"/>
        <v>Ok</v>
      </c>
      <c r="L725" s="1077">
        <f t="shared" si="57"/>
        <v>0</v>
      </c>
      <c r="M725" s="512">
        <f>+SUM(M726:M756)</f>
        <v>136</v>
      </c>
      <c r="N725" s="1073">
        <f>+VLOOKUP(H725,'Parametros Generales'!$B$14:$D$17,3,TRUE)</f>
        <v>0.6</v>
      </c>
      <c r="O725" s="1073">
        <f>+VLOOKUP(H725,'Parametros Generales'!$B$14:$D$17,3,TRUE)</f>
        <v>0.6</v>
      </c>
      <c r="P725" s="1073">
        <f>+VLOOKUP(H725,'Parametros Generales'!$B$14:$D$17,3,TRUE)</f>
        <v>0.6</v>
      </c>
      <c r="Q725" s="1073">
        <f>+R725/'Parametros Generales'!$C$10</f>
        <v>4.25</v>
      </c>
      <c r="R725" s="512">
        <f>+SUM(R726:R756)</f>
        <v>34</v>
      </c>
      <c r="S725" s="390">
        <f>+VLOOKUP(S$1,'Componentes T.H.'!$B$4:$R$22,'Componentes T.H.'!$Q$1,0)*'Parametros Generales'!$C$6*'Cost x Depart'!N725</f>
        <v>8794058.4826000016</v>
      </c>
      <c r="T725" s="390">
        <f>+VLOOKUP(T$1,'Componentes T.H.'!$B$4:$R$22,'Componentes T.H.'!$Q$1,0)*'Parametros Generales'!$C$6*'Cost x Depart'!O725</f>
        <v>6626289.3953999998</v>
      </c>
      <c r="U725" s="390">
        <f>+VLOOKUP(U$1,'Componentes T.H.'!$B$4:$R$22,'Componentes T.H.'!$Q$1,0)*'Parametros Generales'!$C$6*'Cost x Depart'!P725</f>
        <v>2934259.1999999997</v>
      </c>
      <c r="V725" s="389">
        <f>+VLOOKUP(V$1,'Componentes T.H.'!$B$4:$R$22,'Componentes T.H.'!$Q$1,0)*'Parametros Generales'!$C$6*'Cost x Depart'!Q725</f>
        <v>42461952.020916671</v>
      </c>
      <c r="W725" s="512">
        <f>+SUM(W726:W756)</f>
        <v>170629240.414</v>
      </c>
      <c r="X725" s="512">
        <f>+SUM(X726:X756)</f>
        <v>14495214.709628738</v>
      </c>
      <c r="Y725" s="391">
        <f>+VLOOKUP(C726,'Transporte y Viaticos'!$B$87:$F$120,2,0)*((O725/'Parametros Generales'!$J$14)+(Q725/'Parametros Generales'!$J$15)+(R725/'Parametros Generales'!$J$16))*'Parametros Generales'!$C$6</f>
        <v>698648.03251188505</v>
      </c>
      <c r="Z725" s="391">
        <f>+(N725+O725+Q725)*'Parametros Generales'!$C$6*'Parametros Generales'!$J$7</f>
        <v>1071579</v>
      </c>
      <c r="AA725" s="391">
        <f>+SUM(N725:R725)*'Parametros Generales'!$C$6*'Parametros Generales'!$J$8</f>
        <v>7188975</v>
      </c>
      <c r="AB725" s="512">
        <f>+SUM(AB726:AB756)</f>
        <v>66219636.36363636</v>
      </c>
      <c r="AC725" s="512">
        <f>+SUM(AC726:AC756)</f>
        <v>250554479.04582769</v>
      </c>
      <c r="AD725" s="391">
        <f>+'Parametros Generales'!$J$11*SUM(N725:R725)</f>
        <v>1347282</v>
      </c>
      <c r="AE725" s="436">
        <f>+SUM(S725:AD725)</f>
        <v>573021613.66452134</v>
      </c>
      <c r="AF725" s="391">
        <f>+AE725*(SUM('Res de Costos Pais'!G117:G117))</f>
        <v>39251980.536019713</v>
      </c>
      <c r="AG725" s="391">
        <f>+AE725+AF725</f>
        <v>612273594.20054102</v>
      </c>
      <c r="AH725" s="391">
        <f>+AG725*SUM('Res de Costos Pais'!$G$123:$G$124)</f>
        <v>5914562.9199772263</v>
      </c>
      <c r="AI725" s="391">
        <f>+(AG725+AH725)*'Res de Costos Pais'!$G$136</f>
        <v>1669108.0242253994</v>
      </c>
      <c r="AJ725" s="391">
        <f>+(AG725+AH725+AI725)*'Res de Costos Pais'!$G$140</f>
        <v>2479429.0605789744</v>
      </c>
      <c r="AK725" s="391">
        <f>+AG725+AH725+AI725+AJ725</f>
        <v>622336694.2053225</v>
      </c>
      <c r="AL725" s="820">
        <f>IF(ISERROR((+(AK725/H725)/'Parametros Generales'!$C$6)),0,(+(AK725/H725)/'Parametros Generales'!$C$6))</f>
        <v>36608.040835607208</v>
      </c>
    </row>
    <row r="726" spans="1:38" s="33" customFormat="1" hidden="1" outlineLevel="1">
      <c r="A726" s="1150"/>
      <c r="B726" s="819">
        <v>50</v>
      </c>
      <c r="C726" s="377" t="s">
        <v>470</v>
      </c>
      <c r="D726" s="378">
        <f>+VLOOKUP(E726,Codigos!$A$1:$B$1123,2,0)</f>
        <v>50001</v>
      </c>
      <c r="E726" s="1110" t="s">
        <v>2042</v>
      </c>
      <c r="F726" s="1102">
        <v>1</v>
      </c>
      <c r="G726" s="379">
        <v>594</v>
      </c>
      <c r="H726" s="1060">
        <f>CEILING(G726,'Parametros Generales'!$C$8)</f>
        <v>600</v>
      </c>
      <c r="I726" s="1057" t="s">
        <v>471</v>
      </c>
      <c r="J726" s="1058">
        <v>600</v>
      </c>
      <c r="K726" s="1070" t="str">
        <f t="shared" si="56"/>
        <v>Ok</v>
      </c>
      <c r="L726" s="1077">
        <f t="shared" si="57"/>
        <v>0</v>
      </c>
      <c r="M726" s="1089">
        <f>+H726/'Parametros Generales'!$C$8</f>
        <v>24</v>
      </c>
      <c r="N726" s="1096"/>
      <c r="O726" s="1096"/>
      <c r="P726" s="1096"/>
      <c r="Q726" s="1096"/>
      <c r="R726" s="1096">
        <f>+(M726/'Parametros Generales'!$C$9)</f>
        <v>6</v>
      </c>
      <c r="S726" s="393"/>
      <c r="T726" s="393"/>
      <c r="U726" s="393"/>
      <c r="V726" s="394"/>
      <c r="W726" s="380">
        <f>+R726*'Componentes T.H.'!$Q$9*'Parametros Generales'!$C$6</f>
        <v>30111042.425999999</v>
      </c>
      <c r="X726" s="380">
        <f>(+VLOOKUP(C726,'Transporte y Viaticos'!$B$87:$L$120,2,0)*'Parametros Generales'!$C$7*R726)*(2/3)</f>
        <v>2557979.0664050709</v>
      </c>
      <c r="Y726" s="417"/>
      <c r="Z726" s="417"/>
      <c r="AA726" s="417"/>
      <c r="AB726" s="417">
        <f>+M726*'Parametros Generales'!$C$6*'Parametros Generales'!$J$9</f>
        <v>11685818.181818185</v>
      </c>
      <c r="AC726" s="417">
        <f>+H726*'Parametros Generales'!$J$10*'Parametros Generales'!$C$6*'Parametros Generales'!$C$11</f>
        <v>44215496.302204885</v>
      </c>
      <c r="AD726" s="417"/>
      <c r="AE726" s="417"/>
      <c r="AF726" s="417"/>
      <c r="AG726" s="417"/>
      <c r="AH726" s="417"/>
      <c r="AI726" s="417"/>
      <c r="AJ726" s="417"/>
      <c r="AK726" s="436"/>
      <c r="AL726" s="822"/>
    </row>
    <row r="727" spans="1:38" s="33" customFormat="1" hidden="1" outlineLevel="1">
      <c r="A727" s="1150"/>
      <c r="B727" s="821">
        <v>50</v>
      </c>
      <c r="C727" s="371" t="s">
        <v>470</v>
      </c>
      <c r="D727" s="31">
        <f>+VLOOKUP(E727,Codigos!$A$1:$B$1123,2,0)</f>
        <v>50006</v>
      </c>
      <c r="E727" s="1111" t="s">
        <v>2043</v>
      </c>
      <c r="F727" s="1103">
        <v>1</v>
      </c>
      <c r="G727" s="30">
        <v>396</v>
      </c>
      <c r="H727" s="1061">
        <f>CEILING(G727,'Parametros Generales'!$C$8)</f>
        <v>400</v>
      </c>
      <c r="I727" s="1057" t="s">
        <v>472</v>
      </c>
      <c r="J727" s="1058">
        <v>400</v>
      </c>
      <c r="K727" s="1070" t="str">
        <f t="shared" si="56"/>
        <v>Ok</v>
      </c>
      <c r="L727" s="1077">
        <f t="shared" si="57"/>
        <v>0</v>
      </c>
      <c r="M727" s="1090">
        <f>+H727/'Parametros Generales'!$C$8</f>
        <v>16</v>
      </c>
      <c r="N727" s="1097"/>
      <c r="O727" s="1097"/>
      <c r="P727" s="1097"/>
      <c r="Q727" s="1097"/>
      <c r="R727" s="1097">
        <f>+(M727/'Parametros Generales'!$C$9)</f>
        <v>4</v>
      </c>
      <c r="S727" s="390"/>
      <c r="T727" s="390"/>
      <c r="U727" s="390"/>
      <c r="V727" s="389"/>
      <c r="W727" s="32">
        <f>+R727*'Componentes T.H.'!$Q$9*'Parametros Generales'!$C$6</f>
        <v>20074028.284000002</v>
      </c>
      <c r="X727" s="32">
        <f>(+VLOOKUP(C727,'Transporte y Viaticos'!$B$87:$L$120,2,0)*'Parametros Generales'!$C$7*R727)*(2/3)</f>
        <v>1705319.3776033805</v>
      </c>
      <c r="Y727" s="417"/>
      <c r="Z727" s="417"/>
      <c r="AA727" s="417"/>
      <c r="AB727" s="417">
        <f>+M727*'Parametros Generales'!$C$6*'Parametros Generales'!$J$9</f>
        <v>7790545.4545454569</v>
      </c>
      <c r="AC727" s="417">
        <f>+H727*'Parametros Generales'!$J$10*'Parametros Generales'!$C$6*'Parametros Generales'!$C$11</f>
        <v>29476997.534803249</v>
      </c>
      <c r="AD727" s="417"/>
      <c r="AE727" s="417"/>
      <c r="AF727" s="417"/>
      <c r="AG727" s="417"/>
      <c r="AH727" s="417"/>
      <c r="AI727" s="417"/>
      <c r="AJ727" s="417"/>
      <c r="AK727" s="436"/>
      <c r="AL727" s="822"/>
    </row>
    <row r="728" spans="1:38" s="33" customFormat="1" hidden="1" outlineLevel="1">
      <c r="A728" s="1150"/>
      <c r="B728" s="821">
        <v>50</v>
      </c>
      <c r="C728" s="371" t="s">
        <v>470</v>
      </c>
      <c r="D728" s="31">
        <f>+VLOOKUP(E728,Codigos!$A$1:$B$1123,2,0)</f>
        <v>50226</v>
      </c>
      <c r="E728" s="1111" t="s">
        <v>2044</v>
      </c>
      <c r="F728" s="1103">
        <v>1</v>
      </c>
      <c r="G728" s="30">
        <v>198</v>
      </c>
      <c r="H728" s="1061">
        <f>CEILING(G728,'Parametros Generales'!$C$8)</f>
        <v>200</v>
      </c>
      <c r="I728" s="1057" t="s">
        <v>473</v>
      </c>
      <c r="J728" s="1058">
        <v>200</v>
      </c>
      <c r="K728" s="1070" t="str">
        <f t="shared" si="56"/>
        <v>Ok</v>
      </c>
      <c r="L728" s="1076">
        <f t="shared" si="57"/>
        <v>0</v>
      </c>
      <c r="M728" s="1090">
        <f>+H728/'Parametros Generales'!$C$8</f>
        <v>8</v>
      </c>
      <c r="N728" s="1097"/>
      <c r="O728" s="1097"/>
      <c r="P728" s="1097"/>
      <c r="Q728" s="1097"/>
      <c r="R728" s="1097">
        <f>+(M728/'Parametros Generales'!$C$9)</f>
        <v>2</v>
      </c>
      <c r="S728" s="390"/>
      <c r="T728" s="390"/>
      <c r="U728" s="390"/>
      <c r="V728" s="389"/>
      <c r="W728" s="32">
        <f>+R728*'Componentes T.H.'!$Q$9*'Parametros Generales'!$C$6</f>
        <v>10037014.142000001</v>
      </c>
      <c r="X728" s="32">
        <f>(+VLOOKUP(C728,'Transporte y Viaticos'!$B$87:$L$120,2,0)*'Parametros Generales'!$C$7*R728)*(2/3)</f>
        <v>852659.68880169024</v>
      </c>
      <c r="Y728" s="417"/>
      <c r="Z728" s="417"/>
      <c r="AA728" s="417"/>
      <c r="AB728" s="417">
        <f>+M728*'Parametros Generales'!$C$6*'Parametros Generales'!$J$9</f>
        <v>3895272.7272727285</v>
      </c>
      <c r="AC728" s="417">
        <f>+H728*'Parametros Generales'!$J$10*'Parametros Generales'!$C$6*'Parametros Generales'!$C$11</f>
        <v>14738498.767401624</v>
      </c>
      <c r="AD728" s="417"/>
      <c r="AE728" s="417"/>
      <c r="AF728" s="417"/>
      <c r="AG728" s="417"/>
      <c r="AH728" s="417"/>
      <c r="AI728" s="417"/>
      <c r="AJ728" s="417"/>
      <c r="AK728" s="436"/>
      <c r="AL728" s="822"/>
    </row>
    <row r="729" spans="1:38" s="33" customFormat="1" hidden="1" outlineLevel="1">
      <c r="A729" s="1150"/>
      <c r="B729" s="821">
        <v>50</v>
      </c>
      <c r="C729" s="371" t="s">
        <v>470</v>
      </c>
      <c r="D729" s="31">
        <f>+VLOOKUP(E729,Codigos!$A$1:$B$1123,2,0)</f>
        <v>50313</v>
      </c>
      <c r="E729" s="1111" t="s">
        <v>2045</v>
      </c>
      <c r="F729" s="1103">
        <v>1</v>
      </c>
      <c r="G729" s="30">
        <v>198</v>
      </c>
      <c r="H729" s="1061">
        <f>CEILING(G729,'Parametros Generales'!$C$8)</f>
        <v>200</v>
      </c>
      <c r="I729" s="1057" t="s">
        <v>474</v>
      </c>
      <c r="J729" s="1058">
        <v>200</v>
      </c>
      <c r="K729" s="1070" t="str">
        <f t="shared" si="56"/>
        <v>Ok</v>
      </c>
      <c r="L729" s="1077">
        <f t="shared" si="57"/>
        <v>0</v>
      </c>
      <c r="M729" s="1090">
        <f>+H729/'Parametros Generales'!$C$8</f>
        <v>8</v>
      </c>
      <c r="N729" s="1097"/>
      <c r="O729" s="1097"/>
      <c r="P729" s="1097"/>
      <c r="Q729" s="1097"/>
      <c r="R729" s="1097">
        <f>+(M729/'Parametros Generales'!$C$9)</f>
        <v>2</v>
      </c>
      <c r="S729" s="390"/>
      <c r="T729" s="390"/>
      <c r="U729" s="390"/>
      <c r="V729" s="389"/>
      <c r="W729" s="32">
        <f>+R729*'Componentes T.H.'!$Q$9*'Parametros Generales'!$C$6</f>
        <v>10037014.142000001</v>
      </c>
      <c r="X729" s="32">
        <f>(+VLOOKUP(C729,'Transporte y Viaticos'!$B$87:$L$120,2,0)*'Parametros Generales'!$C$7*R729)*(2/3)</f>
        <v>852659.68880169024</v>
      </c>
      <c r="Y729" s="417"/>
      <c r="Z729" s="417"/>
      <c r="AA729" s="417"/>
      <c r="AB729" s="417">
        <f>+M729*'Parametros Generales'!$C$6*'Parametros Generales'!$J$9</f>
        <v>3895272.7272727285</v>
      </c>
      <c r="AC729" s="417">
        <f>+H729*'Parametros Generales'!$J$10*'Parametros Generales'!$C$6*'Parametros Generales'!$C$11</f>
        <v>14738498.767401624</v>
      </c>
      <c r="AD729" s="417"/>
      <c r="AE729" s="417"/>
      <c r="AF729" s="417"/>
      <c r="AG729" s="417"/>
      <c r="AH729" s="417"/>
      <c r="AI729" s="417"/>
      <c r="AJ729" s="417"/>
      <c r="AK729" s="436"/>
      <c r="AL729" s="822"/>
    </row>
    <row r="730" spans="1:38" s="33" customFormat="1" hidden="1" outlineLevel="1">
      <c r="A730" s="1150"/>
      <c r="B730" s="821">
        <v>50</v>
      </c>
      <c r="C730" s="371" t="s">
        <v>470</v>
      </c>
      <c r="D730" s="31">
        <f>+VLOOKUP(E730,Codigos!$A$1:$B$1123,2,0)</f>
        <v>50350</v>
      </c>
      <c r="E730" s="1111" t="s">
        <v>2046</v>
      </c>
      <c r="F730" s="1103">
        <v>1</v>
      </c>
      <c r="G730" s="30">
        <v>198</v>
      </c>
      <c r="H730" s="1061">
        <f>CEILING(G730,'Parametros Generales'!$C$8)</f>
        <v>200</v>
      </c>
      <c r="I730" s="1057" t="s">
        <v>475</v>
      </c>
      <c r="J730" s="1058">
        <v>200</v>
      </c>
      <c r="K730" s="1070" t="str">
        <f t="shared" si="56"/>
        <v>Ok</v>
      </c>
      <c r="L730" s="1077">
        <f t="shared" si="57"/>
        <v>0</v>
      </c>
      <c r="M730" s="1090">
        <f>+H730/'Parametros Generales'!$C$8</f>
        <v>8</v>
      </c>
      <c r="N730" s="1097"/>
      <c r="O730" s="1097"/>
      <c r="P730" s="1097"/>
      <c r="Q730" s="1097"/>
      <c r="R730" s="1097">
        <f>+(M730/'Parametros Generales'!$C$9)</f>
        <v>2</v>
      </c>
      <c r="S730" s="390"/>
      <c r="T730" s="390"/>
      <c r="U730" s="390"/>
      <c r="V730" s="389"/>
      <c r="W730" s="32">
        <f>+R730*'Componentes T.H.'!$Q$9*'Parametros Generales'!$C$6</f>
        <v>10037014.142000001</v>
      </c>
      <c r="X730" s="32">
        <f>(+VLOOKUP(C730,'Transporte y Viaticos'!$B$87:$L$120,2,0)*'Parametros Generales'!$C$7*R730)*(2/3)</f>
        <v>852659.68880169024</v>
      </c>
      <c r="Y730" s="417"/>
      <c r="Z730" s="417"/>
      <c r="AA730" s="417"/>
      <c r="AB730" s="417">
        <f>+M730*'Parametros Generales'!$C$6*'Parametros Generales'!$J$9</f>
        <v>3895272.7272727285</v>
      </c>
      <c r="AC730" s="417">
        <f>+H730*'Parametros Generales'!$J$10*'Parametros Generales'!$C$6*'Parametros Generales'!$C$11</f>
        <v>14738498.767401624</v>
      </c>
      <c r="AD730" s="417"/>
      <c r="AE730" s="417"/>
      <c r="AF730" s="417"/>
      <c r="AG730" s="417"/>
      <c r="AH730" s="417"/>
      <c r="AI730" s="417"/>
      <c r="AJ730" s="417"/>
      <c r="AK730" s="436"/>
      <c r="AL730" s="822"/>
    </row>
    <row r="731" spans="1:38" s="33" customFormat="1" hidden="1" outlineLevel="1">
      <c r="A731" s="1150"/>
      <c r="B731" s="821">
        <v>50</v>
      </c>
      <c r="C731" s="371" t="s">
        <v>470</v>
      </c>
      <c r="D731" s="31">
        <f>+VLOOKUP(E731,Codigos!$A$1:$B$1123,2,0)</f>
        <v>50330</v>
      </c>
      <c r="E731" s="1111" t="s">
        <v>2047</v>
      </c>
      <c r="F731" s="1103">
        <v>1</v>
      </c>
      <c r="G731" s="30">
        <v>198</v>
      </c>
      <c r="H731" s="1061">
        <f>CEILING(G731,'Parametros Generales'!$C$8)</f>
        <v>200</v>
      </c>
      <c r="I731" s="1057" t="s">
        <v>476</v>
      </c>
      <c r="J731" s="1058">
        <v>200</v>
      </c>
      <c r="K731" s="1070" t="str">
        <f t="shared" si="56"/>
        <v>Ok</v>
      </c>
      <c r="L731" s="1077">
        <f t="shared" si="57"/>
        <v>0</v>
      </c>
      <c r="M731" s="1090">
        <f>+H731/'Parametros Generales'!$C$8</f>
        <v>8</v>
      </c>
      <c r="N731" s="1097"/>
      <c r="O731" s="1097"/>
      <c r="P731" s="1097"/>
      <c r="Q731" s="1097"/>
      <c r="R731" s="1097">
        <f>+(M731/'Parametros Generales'!$C$9)</f>
        <v>2</v>
      </c>
      <c r="S731" s="390"/>
      <c r="T731" s="390"/>
      <c r="U731" s="390"/>
      <c r="V731" s="389"/>
      <c r="W731" s="32">
        <f>+R731*'Componentes T.H.'!$Q$9*'Parametros Generales'!$C$6</f>
        <v>10037014.142000001</v>
      </c>
      <c r="X731" s="32">
        <f>(+VLOOKUP(C731,'Transporte y Viaticos'!$B$87:$L$120,2,0)*'Parametros Generales'!$C$7*R731)*(2/3)</f>
        <v>852659.68880169024</v>
      </c>
      <c r="Y731" s="417"/>
      <c r="Z731" s="417"/>
      <c r="AA731" s="417"/>
      <c r="AB731" s="417">
        <f>+M731*'Parametros Generales'!$C$6*'Parametros Generales'!$J$9</f>
        <v>3895272.7272727285</v>
      </c>
      <c r="AC731" s="417">
        <f>+H731*'Parametros Generales'!$J$10*'Parametros Generales'!$C$6*'Parametros Generales'!$C$11</f>
        <v>14738498.767401624</v>
      </c>
      <c r="AD731" s="417"/>
      <c r="AE731" s="417"/>
      <c r="AF731" s="417"/>
      <c r="AG731" s="417"/>
      <c r="AH731" s="417"/>
      <c r="AI731" s="417"/>
      <c r="AJ731" s="417"/>
      <c r="AK731" s="436"/>
      <c r="AL731" s="822"/>
    </row>
    <row r="732" spans="1:38" s="33" customFormat="1" hidden="1" outlineLevel="1">
      <c r="A732" s="1150"/>
      <c r="B732" s="821">
        <v>50</v>
      </c>
      <c r="C732" s="371" t="s">
        <v>470</v>
      </c>
      <c r="D732" s="31">
        <f>+VLOOKUP(E732,Codigos!$A$1:$B$1123,2,0)</f>
        <v>50568</v>
      </c>
      <c r="E732" s="1111" t="s">
        <v>2048</v>
      </c>
      <c r="F732" s="1103">
        <v>1</v>
      </c>
      <c r="G732" s="30">
        <v>198</v>
      </c>
      <c r="H732" s="1061">
        <f>CEILING(G732,'Parametros Generales'!$C$8)</f>
        <v>200</v>
      </c>
      <c r="I732" s="1057" t="s">
        <v>477</v>
      </c>
      <c r="J732" s="1058">
        <v>200</v>
      </c>
      <c r="K732" s="1070" t="str">
        <f t="shared" si="56"/>
        <v>Ok</v>
      </c>
      <c r="L732" s="1077">
        <f t="shared" si="57"/>
        <v>0</v>
      </c>
      <c r="M732" s="1090">
        <f>+H732/'Parametros Generales'!$C$8</f>
        <v>8</v>
      </c>
      <c r="N732" s="1097"/>
      <c r="O732" s="1097"/>
      <c r="P732" s="1097"/>
      <c r="Q732" s="1097"/>
      <c r="R732" s="1097">
        <f>+(M732/'Parametros Generales'!$C$9)</f>
        <v>2</v>
      </c>
      <c r="S732" s="390"/>
      <c r="T732" s="390"/>
      <c r="U732" s="390"/>
      <c r="V732" s="389"/>
      <c r="W732" s="32">
        <f>+R732*'Componentes T.H.'!$Q$9*'Parametros Generales'!$C$6</f>
        <v>10037014.142000001</v>
      </c>
      <c r="X732" s="32">
        <f>(+VLOOKUP(C732,'Transporte y Viaticos'!$B$87:$L$120,2,0)*'Parametros Generales'!$C$7*R732)*(2/3)</f>
        <v>852659.68880169024</v>
      </c>
      <c r="Y732" s="417"/>
      <c r="Z732" s="417"/>
      <c r="AA732" s="417"/>
      <c r="AB732" s="417">
        <f>+M732*'Parametros Generales'!$C$6*'Parametros Generales'!$J$9</f>
        <v>3895272.7272727285</v>
      </c>
      <c r="AC732" s="417">
        <f>+H732*'Parametros Generales'!$J$10*'Parametros Generales'!$C$6*'Parametros Generales'!$C$11</f>
        <v>14738498.767401624</v>
      </c>
      <c r="AD732" s="417"/>
      <c r="AE732" s="417"/>
      <c r="AF732" s="417"/>
      <c r="AG732" s="417"/>
      <c r="AH732" s="417"/>
      <c r="AI732" s="417"/>
      <c r="AJ732" s="417"/>
      <c r="AK732" s="436"/>
      <c r="AL732" s="822"/>
    </row>
    <row r="733" spans="1:38" s="33" customFormat="1" hidden="1" outlineLevel="1">
      <c r="A733" s="1150"/>
      <c r="B733" s="821">
        <v>50</v>
      </c>
      <c r="C733" s="371" t="s">
        <v>470</v>
      </c>
      <c r="D733" s="31">
        <f>+VLOOKUP(E733,Codigos!$A$1:$B$1123,2,0)</f>
        <v>50577</v>
      </c>
      <c r="E733" s="1112" t="s">
        <v>2049</v>
      </c>
      <c r="F733" s="1103">
        <v>1</v>
      </c>
      <c r="G733" s="30">
        <v>198</v>
      </c>
      <c r="H733" s="1061">
        <f>CEILING(G733,'Parametros Generales'!$C$8)</f>
        <v>200</v>
      </c>
      <c r="I733" s="1059" t="s">
        <v>478</v>
      </c>
      <c r="J733" s="1058">
        <v>200</v>
      </c>
      <c r="K733" s="1070" t="str">
        <f t="shared" si="56"/>
        <v>Ok</v>
      </c>
      <c r="L733" s="1077">
        <f t="shared" si="57"/>
        <v>0</v>
      </c>
      <c r="M733" s="1090">
        <f>+H733/'Parametros Generales'!$C$8</f>
        <v>8</v>
      </c>
      <c r="N733" s="1097"/>
      <c r="O733" s="1097"/>
      <c r="P733" s="1097"/>
      <c r="Q733" s="1097"/>
      <c r="R733" s="1097">
        <f>+(M733/'Parametros Generales'!$C$9)</f>
        <v>2</v>
      </c>
      <c r="S733" s="390"/>
      <c r="T733" s="390"/>
      <c r="U733" s="390"/>
      <c r="V733" s="389"/>
      <c r="W733" s="32">
        <f>+R733*'Componentes T.H.'!$Q$9*'Parametros Generales'!$C$6</f>
        <v>10037014.142000001</v>
      </c>
      <c r="X733" s="32">
        <f>(+VLOOKUP(C733,'Transporte y Viaticos'!$B$87:$L$120,2,0)*'Parametros Generales'!$C$7*R733)*(2/3)</f>
        <v>852659.68880169024</v>
      </c>
      <c r="Y733" s="417"/>
      <c r="Z733" s="417"/>
      <c r="AA733" s="417"/>
      <c r="AB733" s="417">
        <f>+M733*'Parametros Generales'!$C$6*'Parametros Generales'!$J$9</f>
        <v>3895272.7272727285</v>
      </c>
      <c r="AC733" s="417">
        <f>+H733*'Parametros Generales'!$J$10*'Parametros Generales'!$C$6*'Parametros Generales'!$C$11</f>
        <v>14738498.767401624</v>
      </c>
      <c r="AD733" s="417"/>
      <c r="AE733" s="417"/>
      <c r="AF733" s="417"/>
      <c r="AG733" s="417"/>
      <c r="AH733" s="417"/>
      <c r="AI733" s="417"/>
      <c r="AJ733" s="417"/>
      <c r="AK733" s="436"/>
      <c r="AL733" s="822"/>
    </row>
    <row r="734" spans="1:38" s="33" customFormat="1" hidden="1" outlineLevel="1">
      <c r="A734" s="1150"/>
      <c r="B734" s="821">
        <v>50</v>
      </c>
      <c r="C734" s="371" t="s">
        <v>470</v>
      </c>
      <c r="D734" s="31">
        <f>+VLOOKUP(E734,Codigos!$A$1:$B$1123,2,0)</f>
        <v>50573</v>
      </c>
      <c r="E734" s="1111" t="s">
        <v>2050</v>
      </c>
      <c r="F734" s="1103">
        <v>1</v>
      </c>
      <c r="G734" s="30">
        <v>198</v>
      </c>
      <c r="H734" s="1061">
        <f>CEILING(G734,'Parametros Generales'!$C$8)</f>
        <v>200</v>
      </c>
      <c r="I734" s="1057" t="s">
        <v>479</v>
      </c>
      <c r="J734" s="1058">
        <v>200</v>
      </c>
      <c r="K734" s="1070" t="str">
        <f t="shared" si="56"/>
        <v>Ok</v>
      </c>
      <c r="L734" s="1077">
        <f t="shared" si="57"/>
        <v>0</v>
      </c>
      <c r="M734" s="1090">
        <f>+H734/'Parametros Generales'!$C$8</f>
        <v>8</v>
      </c>
      <c r="N734" s="1097"/>
      <c r="O734" s="1097"/>
      <c r="P734" s="1097"/>
      <c r="Q734" s="1097"/>
      <c r="R734" s="1097">
        <f>+(M734/'Parametros Generales'!$C$9)</f>
        <v>2</v>
      </c>
      <c r="S734" s="390"/>
      <c r="T734" s="390"/>
      <c r="U734" s="390"/>
      <c r="V734" s="389"/>
      <c r="W734" s="32">
        <f>+R734*'Componentes T.H.'!$Q$9*'Parametros Generales'!$C$6</f>
        <v>10037014.142000001</v>
      </c>
      <c r="X734" s="32">
        <f>(+VLOOKUP(C734,'Transporte y Viaticos'!$B$87:$L$120,2,0)*'Parametros Generales'!$C$7*R734)*(2/3)</f>
        <v>852659.68880169024</v>
      </c>
      <c r="Y734" s="417"/>
      <c r="Z734" s="417"/>
      <c r="AA734" s="417"/>
      <c r="AB734" s="417">
        <f>+M734*'Parametros Generales'!$C$6*'Parametros Generales'!$J$9</f>
        <v>3895272.7272727285</v>
      </c>
      <c r="AC734" s="417">
        <f>+H734*'Parametros Generales'!$J$10*'Parametros Generales'!$C$6*'Parametros Generales'!$C$11</f>
        <v>14738498.767401624</v>
      </c>
      <c r="AD734" s="417"/>
      <c r="AE734" s="417"/>
      <c r="AF734" s="417"/>
      <c r="AG734" s="417"/>
      <c r="AH734" s="417"/>
      <c r="AI734" s="417"/>
      <c r="AJ734" s="417"/>
      <c r="AK734" s="436"/>
      <c r="AL734" s="822"/>
    </row>
    <row r="735" spans="1:38" s="33" customFormat="1" hidden="1" outlineLevel="1">
      <c r="A735" s="1150"/>
      <c r="B735" s="821">
        <v>50</v>
      </c>
      <c r="C735" s="371" t="s">
        <v>470</v>
      </c>
      <c r="D735" s="31">
        <f>+VLOOKUP(E735,Codigos!$A$1:$B$1123,2,0)</f>
        <v>50590</v>
      </c>
      <c r="E735" s="1111" t="s">
        <v>2051</v>
      </c>
      <c r="F735" s="1103">
        <v>1</v>
      </c>
      <c r="G735" s="30">
        <v>198</v>
      </c>
      <c r="H735" s="1061">
        <f>CEILING(G735,'Parametros Generales'!$C$8)</f>
        <v>200</v>
      </c>
      <c r="I735" s="1057" t="s">
        <v>480</v>
      </c>
      <c r="J735" s="1058">
        <v>200</v>
      </c>
      <c r="K735" s="1070" t="str">
        <f t="shared" si="56"/>
        <v>Ok</v>
      </c>
      <c r="L735" s="1077">
        <f t="shared" si="57"/>
        <v>0</v>
      </c>
      <c r="M735" s="1090">
        <f>+H735/'Parametros Generales'!$C$8</f>
        <v>8</v>
      </c>
      <c r="N735" s="1097"/>
      <c r="O735" s="1097"/>
      <c r="P735" s="1097"/>
      <c r="Q735" s="1097"/>
      <c r="R735" s="1097">
        <f>+(M735/'Parametros Generales'!$C$9)</f>
        <v>2</v>
      </c>
      <c r="S735" s="390"/>
      <c r="T735" s="390"/>
      <c r="U735" s="390"/>
      <c r="V735" s="389"/>
      <c r="W735" s="32">
        <f>+R735*'Componentes T.H.'!$Q$9*'Parametros Generales'!$C$6</f>
        <v>10037014.142000001</v>
      </c>
      <c r="X735" s="32">
        <f>(+VLOOKUP(C735,'Transporte y Viaticos'!$B$87:$L$120,2,0)*'Parametros Generales'!$C$7*R735)*(2/3)</f>
        <v>852659.68880169024</v>
      </c>
      <c r="Y735" s="417"/>
      <c r="Z735" s="417"/>
      <c r="AA735" s="417"/>
      <c r="AB735" s="417">
        <f>+M735*'Parametros Generales'!$C$6*'Parametros Generales'!$J$9</f>
        <v>3895272.7272727285</v>
      </c>
      <c r="AC735" s="417">
        <f>+H735*'Parametros Generales'!$J$10*'Parametros Generales'!$C$6*'Parametros Generales'!$C$11</f>
        <v>14738498.767401624</v>
      </c>
      <c r="AD735" s="417"/>
      <c r="AE735" s="417"/>
      <c r="AF735" s="417"/>
      <c r="AG735" s="417"/>
      <c r="AH735" s="417"/>
      <c r="AI735" s="417"/>
      <c r="AJ735" s="417"/>
      <c r="AK735" s="436"/>
      <c r="AL735" s="822"/>
    </row>
    <row r="736" spans="1:38" s="33" customFormat="1" hidden="1" outlineLevel="1">
      <c r="A736" s="1150"/>
      <c r="B736" s="821">
        <v>50</v>
      </c>
      <c r="C736" s="371" t="s">
        <v>470</v>
      </c>
      <c r="D736" s="31">
        <f>+VLOOKUP(E736,Codigos!$A$1:$B$1123,2,0)</f>
        <v>50683</v>
      </c>
      <c r="E736" s="1112" t="s">
        <v>2052</v>
      </c>
      <c r="F736" s="1103">
        <v>1</v>
      </c>
      <c r="G736" s="30">
        <v>198</v>
      </c>
      <c r="H736" s="1061">
        <f>CEILING(G736,'Parametros Generales'!$C$8)</f>
        <v>200</v>
      </c>
      <c r="I736" s="1059" t="s">
        <v>2393</v>
      </c>
      <c r="J736" s="1058">
        <v>200</v>
      </c>
      <c r="K736" s="1070" t="str">
        <f t="shared" si="56"/>
        <v>Ok</v>
      </c>
      <c r="L736" s="1077">
        <f t="shared" si="57"/>
        <v>0</v>
      </c>
      <c r="M736" s="1090">
        <f>+H736/'Parametros Generales'!$C$8</f>
        <v>8</v>
      </c>
      <c r="N736" s="1097"/>
      <c r="O736" s="1097"/>
      <c r="P736" s="1097"/>
      <c r="Q736" s="1097"/>
      <c r="R736" s="1097">
        <f>+(M736/'Parametros Generales'!$C$9)</f>
        <v>2</v>
      </c>
      <c r="S736" s="390"/>
      <c r="T736" s="390"/>
      <c r="U736" s="390"/>
      <c r="V736" s="389"/>
      <c r="W736" s="32">
        <f>+R736*'Componentes T.H.'!$Q$9*'Parametros Generales'!$C$6</f>
        <v>10037014.142000001</v>
      </c>
      <c r="X736" s="32">
        <f>(+VLOOKUP(C736,'Transporte y Viaticos'!$B$87:$L$120,2,0)*'Parametros Generales'!$C$7*R736)*(2/3)</f>
        <v>852659.68880169024</v>
      </c>
      <c r="Y736" s="417"/>
      <c r="Z736" s="417"/>
      <c r="AA736" s="417"/>
      <c r="AB736" s="417">
        <f>+M736*'Parametros Generales'!$C$6*'Parametros Generales'!$J$9</f>
        <v>3895272.7272727285</v>
      </c>
      <c r="AC736" s="417">
        <f>+H736*'Parametros Generales'!$J$10*'Parametros Generales'!$C$6*'Parametros Generales'!$C$11</f>
        <v>14738498.767401624</v>
      </c>
      <c r="AD736" s="417"/>
      <c r="AE736" s="417"/>
      <c r="AF736" s="417"/>
      <c r="AG736" s="417"/>
      <c r="AH736" s="417"/>
      <c r="AI736" s="417"/>
      <c r="AJ736" s="417"/>
      <c r="AK736" s="436"/>
      <c r="AL736" s="822"/>
    </row>
    <row r="737" spans="1:38" s="33" customFormat="1" hidden="1" outlineLevel="1">
      <c r="A737" s="1150"/>
      <c r="B737" s="821">
        <v>50</v>
      </c>
      <c r="C737" s="371" t="s">
        <v>470</v>
      </c>
      <c r="D737" s="31">
        <f>+VLOOKUP(E737,Codigos!$A$1:$B$1123,2,0)</f>
        <v>50689</v>
      </c>
      <c r="E737" s="1111" t="s">
        <v>2053</v>
      </c>
      <c r="F737" s="1103">
        <v>1</v>
      </c>
      <c r="G737" s="30">
        <v>198</v>
      </c>
      <c r="H737" s="1061">
        <f>CEILING(G737,'Parametros Generales'!$C$8)</f>
        <v>200</v>
      </c>
      <c r="I737" s="1057" t="s">
        <v>481</v>
      </c>
      <c r="J737" s="1058">
        <v>200</v>
      </c>
      <c r="K737" s="1070" t="str">
        <f t="shared" si="56"/>
        <v>Ok</v>
      </c>
      <c r="L737" s="1077">
        <f t="shared" si="57"/>
        <v>0</v>
      </c>
      <c r="M737" s="1090">
        <f>+H737/'Parametros Generales'!$C$8</f>
        <v>8</v>
      </c>
      <c r="N737" s="1097"/>
      <c r="O737" s="1097"/>
      <c r="P737" s="1097"/>
      <c r="Q737" s="1097"/>
      <c r="R737" s="1097">
        <f>+(M737/'Parametros Generales'!$C$9)</f>
        <v>2</v>
      </c>
      <c r="S737" s="390"/>
      <c r="T737" s="390"/>
      <c r="U737" s="390"/>
      <c r="V737" s="389"/>
      <c r="W737" s="32">
        <f>+R737*'Componentes T.H.'!$Q$9*'Parametros Generales'!$C$6</f>
        <v>10037014.142000001</v>
      </c>
      <c r="X737" s="32">
        <f>(+VLOOKUP(C737,'Transporte y Viaticos'!$B$87:$L$120,2,0)*'Parametros Generales'!$C$7*R737)*(2/3)</f>
        <v>852659.68880169024</v>
      </c>
      <c r="Y737" s="417"/>
      <c r="Z737" s="417"/>
      <c r="AA737" s="417"/>
      <c r="AB737" s="417">
        <f>+M737*'Parametros Generales'!$C$6*'Parametros Generales'!$J$9</f>
        <v>3895272.7272727285</v>
      </c>
      <c r="AC737" s="417">
        <f>+H737*'Parametros Generales'!$J$10*'Parametros Generales'!$C$6*'Parametros Generales'!$C$11</f>
        <v>14738498.767401624</v>
      </c>
      <c r="AD737" s="417"/>
      <c r="AE737" s="417"/>
      <c r="AF737" s="417"/>
      <c r="AG737" s="417"/>
      <c r="AH737" s="417"/>
      <c r="AI737" s="417"/>
      <c r="AJ737" s="417"/>
      <c r="AK737" s="436"/>
      <c r="AL737" s="822"/>
    </row>
    <row r="738" spans="1:38" s="33" customFormat="1" hidden="1" outlineLevel="1">
      <c r="A738" s="1150"/>
      <c r="B738" s="821">
        <v>50</v>
      </c>
      <c r="C738" s="371" t="s">
        <v>470</v>
      </c>
      <c r="D738" s="31">
        <f>+VLOOKUP(E738,Codigos!$A$1:$B$1123,2,0)</f>
        <v>50370</v>
      </c>
      <c r="E738" s="1111" t="s">
        <v>2054</v>
      </c>
      <c r="F738" s="1103">
        <v>1</v>
      </c>
      <c r="G738" s="30">
        <v>198</v>
      </c>
      <c r="H738" s="1061">
        <f>CEILING(G738,'Parametros Generales'!$C$8)</f>
        <v>200</v>
      </c>
      <c r="I738" s="1057" t="s">
        <v>482</v>
      </c>
      <c r="J738" s="1058">
        <v>200</v>
      </c>
      <c r="K738" s="1070" t="str">
        <f t="shared" si="56"/>
        <v>Ok</v>
      </c>
      <c r="L738" s="1077">
        <f t="shared" si="57"/>
        <v>0</v>
      </c>
      <c r="M738" s="1090">
        <f>+H738/'Parametros Generales'!$C$8</f>
        <v>8</v>
      </c>
      <c r="N738" s="1097"/>
      <c r="O738" s="1097"/>
      <c r="P738" s="1097"/>
      <c r="Q738" s="1097"/>
      <c r="R738" s="1097">
        <f>+(M738/'Parametros Generales'!$C$9)</f>
        <v>2</v>
      </c>
      <c r="S738" s="390"/>
      <c r="T738" s="390"/>
      <c r="U738" s="390"/>
      <c r="V738" s="389"/>
      <c r="W738" s="32">
        <f>+R738*'Componentes T.H.'!$Q$9*'Parametros Generales'!$C$6</f>
        <v>10037014.142000001</v>
      </c>
      <c r="X738" s="32">
        <f>(+VLOOKUP(C738,'Transporte y Viaticos'!$B$87:$L$120,2,0)*'Parametros Generales'!$C$7*R738)*(2/3)</f>
        <v>852659.68880169024</v>
      </c>
      <c r="Y738" s="417"/>
      <c r="Z738" s="417"/>
      <c r="AA738" s="417"/>
      <c r="AB738" s="417">
        <f>+M738*'Parametros Generales'!$C$6*'Parametros Generales'!$J$9</f>
        <v>3895272.7272727285</v>
      </c>
      <c r="AC738" s="417">
        <f>+H738*'Parametros Generales'!$J$10*'Parametros Generales'!$C$6*'Parametros Generales'!$C$11</f>
        <v>14738498.767401624</v>
      </c>
      <c r="AD738" s="417"/>
      <c r="AE738" s="417"/>
      <c r="AF738" s="417"/>
      <c r="AG738" s="417"/>
      <c r="AH738" s="417"/>
      <c r="AI738" s="417"/>
      <c r="AJ738" s="417"/>
      <c r="AK738" s="436"/>
      <c r="AL738" s="822"/>
    </row>
    <row r="739" spans="1:38" s="33" customFormat="1" hidden="1" outlineLevel="1">
      <c r="A739" s="1150"/>
      <c r="B739" s="823">
        <v>50</v>
      </c>
      <c r="C739" s="373" t="s">
        <v>470</v>
      </c>
      <c r="D739" s="374">
        <f>+VLOOKUP(E739,Codigos!$A$1:$B$1123,2,0)</f>
        <v>50711</v>
      </c>
      <c r="E739" s="1113" t="s">
        <v>2055</v>
      </c>
      <c r="F739" s="1104">
        <v>1</v>
      </c>
      <c r="G739" s="375">
        <v>198</v>
      </c>
      <c r="H739" s="1062">
        <f>CEILING(G739,'Parametros Generales'!$C$8)</f>
        <v>200</v>
      </c>
      <c r="I739" s="1057" t="s">
        <v>483</v>
      </c>
      <c r="J739" s="1058">
        <v>200</v>
      </c>
      <c r="K739" s="1070" t="str">
        <f t="shared" si="56"/>
        <v>Ok</v>
      </c>
      <c r="L739" s="1077">
        <f t="shared" si="57"/>
        <v>0</v>
      </c>
      <c r="M739" s="1091">
        <f>+H739/'Parametros Generales'!$C$8</f>
        <v>8</v>
      </c>
      <c r="N739" s="1098"/>
      <c r="O739" s="1098"/>
      <c r="P739" s="1098"/>
      <c r="Q739" s="1098"/>
      <c r="R739" s="1098">
        <f>+(M739/'Parametros Generales'!$C$9)</f>
        <v>2</v>
      </c>
      <c r="S739" s="395"/>
      <c r="T739" s="395"/>
      <c r="U739" s="395"/>
      <c r="V739" s="396"/>
      <c r="W739" s="376">
        <f>+R739*'Componentes T.H.'!$Q$9*'Parametros Generales'!$C$6</f>
        <v>10037014.142000001</v>
      </c>
      <c r="X739" s="376">
        <f>(+VLOOKUP(C739,'Transporte y Viaticos'!$B$87:$L$120,2,0)*'Parametros Generales'!$C$7*R739)*(2/3)</f>
        <v>852659.68880169024</v>
      </c>
      <c r="Y739" s="417"/>
      <c r="Z739" s="417"/>
      <c r="AA739" s="417"/>
      <c r="AB739" s="417">
        <f>+M739*'Parametros Generales'!$C$6*'Parametros Generales'!$J$9</f>
        <v>3895272.7272727285</v>
      </c>
      <c r="AC739" s="417">
        <f>+H739*'Parametros Generales'!$J$10*'Parametros Generales'!$C$6*'Parametros Generales'!$C$11</f>
        <v>14738498.767401624</v>
      </c>
      <c r="AD739" s="417"/>
      <c r="AE739" s="417"/>
      <c r="AF739" s="417"/>
      <c r="AG739" s="417"/>
      <c r="AH739" s="417"/>
      <c r="AI739" s="417"/>
      <c r="AJ739" s="417"/>
      <c r="AK739" s="436"/>
      <c r="AL739" s="822"/>
    </row>
    <row r="740" spans="1:38" s="33" customFormat="1" hidden="1" outlineLevel="1">
      <c r="A740" s="1150"/>
      <c r="B740" s="823">
        <f t="shared" ref="B740:B756" si="60">+B739</f>
        <v>50</v>
      </c>
      <c r="C740" s="373" t="str">
        <f t="shared" ref="C740:C756" si="61">+C739</f>
        <v>META</v>
      </c>
      <c r="D740" s="374"/>
      <c r="E740" s="1113"/>
      <c r="F740" s="1104"/>
      <c r="G740" s="375"/>
      <c r="H740" s="1062"/>
      <c r="I740" s="1057"/>
      <c r="J740" s="1058"/>
      <c r="K740" s="1070" t="str">
        <f t="shared" si="56"/>
        <v>Ok</v>
      </c>
      <c r="L740" s="1077">
        <f t="shared" si="57"/>
        <v>0</v>
      </c>
      <c r="M740" s="1091">
        <f>+H740/'Parametros Generales'!$C$8</f>
        <v>0</v>
      </c>
      <c r="N740" s="1098"/>
      <c r="O740" s="1098"/>
      <c r="P740" s="1098"/>
      <c r="Q740" s="1098"/>
      <c r="R740" s="1098">
        <f>+(M740/'Parametros Generales'!$C$9)</f>
        <v>0</v>
      </c>
      <c r="S740" s="395"/>
      <c r="T740" s="395"/>
      <c r="U740" s="395"/>
      <c r="V740" s="396"/>
      <c r="W740" s="376">
        <f>+R740*'Componentes T.H.'!$Q$9*'Parametros Generales'!$C$6</f>
        <v>0</v>
      </c>
      <c r="X740" s="376">
        <f>(+VLOOKUP(C740,'Transporte y Viaticos'!$B$87:$L$120,2,0)*'Parametros Generales'!$C$7*R740)*(2/3)</f>
        <v>0</v>
      </c>
      <c r="Y740" s="417"/>
      <c r="Z740" s="417"/>
      <c r="AA740" s="417"/>
      <c r="AB740" s="417">
        <f>+M740*'Parametros Generales'!$C$6*'Parametros Generales'!$J$9</f>
        <v>0</v>
      </c>
      <c r="AC740" s="417">
        <f>+H740*'Parametros Generales'!$J$10*'Parametros Generales'!$C$6*'Parametros Generales'!$C$11</f>
        <v>0</v>
      </c>
      <c r="AD740" s="417"/>
      <c r="AE740" s="417"/>
      <c r="AF740" s="417"/>
      <c r="AG740" s="417"/>
      <c r="AH740" s="417"/>
      <c r="AI740" s="417"/>
      <c r="AJ740" s="417"/>
      <c r="AK740" s="436"/>
      <c r="AL740" s="822"/>
    </row>
    <row r="741" spans="1:38" s="33" customFormat="1" hidden="1" outlineLevel="1">
      <c r="A741" s="1150"/>
      <c r="B741" s="823">
        <f t="shared" si="60"/>
        <v>50</v>
      </c>
      <c r="C741" s="373" t="str">
        <f t="shared" si="61"/>
        <v>META</v>
      </c>
      <c r="D741" s="374"/>
      <c r="E741" s="1113"/>
      <c r="F741" s="1104"/>
      <c r="G741" s="375"/>
      <c r="H741" s="1062"/>
      <c r="I741" s="1057"/>
      <c r="J741" s="1058"/>
      <c r="K741" s="1070" t="str">
        <f t="shared" si="56"/>
        <v>Ok</v>
      </c>
      <c r="L741" s="1077">
        <f t="shared" si="57"/>
        <v>0</v>
      </c>
      <c r="M741" s="1091">
        <f>+H741/'Parametros Generales'!$C$8</f>
        <v>0</v>
      </c>
      <c r="N741" s="1098"/>
      <c r="O741" s="1098"/>
      <c r="P741" s="1098"/>
      <c r="Q741" s="1098"/>
      <c r="R741" s="1098">
        <f>+(M741/'Parametros Generales'!$C$9)</f>
        <v>0</v>
      </c>
      <c r="S741" s="395"/>
      <c r="T741" s="395"/>
      <c r="U741" s="395"/>
      <c r="V741" s="396"/>
      <c r="W741" s="376">
        <f>+R741*'Componentes T.H.'!$Q$9*'Parametros Generales'!$C$6</f>
        <v>0</v>
      </c>
      <c r="X741" s="376">
        <f>(+VLOOKUP(C741,'Transporte y Viaticos'!$B$87:$L$120,2,0)*'Parametros Generales'!$C$7*R741)*(2/3)</f>
        <v>0</v>
      </c>
      <c r="Y741" s="417"/>
      <c r="Z741" s="417"/>
      <c r="AA741" s="417"/>
      <c r="AB741" s="417">
        <f>+M741*'Parametros Generales'!$C$6*'Parametros Generales'!$J$9</f>
        <v>0</v>
      </c>
      <c r="AC741" s="417">
        <f>+H741*'Parametros Generales'!$J$10*'Parametros Generales'!$C$6*'Parametros Generales'!$C$11</f>
        <v>0</v>
      </c>
      <c r="AD741" s="417"/>
      <c r="AE741" s="417"/>
      <c r="AF741" s="417"/>
      <c r="AG741" s="417"/>
      <c r="AH741" s="417"/>
      <c r="AI741" s="417"/>
      <c r="AJ741" s="417"/>
      <c r="AK741" s="436"/>
      <c r="AL741" s="822"/>
    </row>
    <row r="742" spans="1:38" s="33" customFormat="1" hidden="1" outlineLevel="1">
      <c r="A742" s="1150"/>
      <c r="B742" s="823">
        <f t="shared" si="60"/>
        <v>50</v>
      </c>
      <c r="C742" s="373" t="str">
        <f t="shared" si="61"/>
        <v>META</v>
      </c>
      <c r="D742" s="374"/>
      <c r="E742" s="1113"/>
      <c r="F742" s="1104"/>
      <c r="G742" s="375"/>
      <c r="H742" s="1062"/>
      <c r="I742" s="1057"/>
      <c r="J742" s="1058"/>
      <c r="K742" s="1070" t="str">
        <f t="shared" si="56"/>
        <v>Ok</v>
      </c>
      <c r="L742" s="1077">
        <f t="shared" si="57"/>
        <v>0</v>
      </c>
      <c r="M742" s="1091">
        <f>+H742/'Parametros Generales'!$C$8</f>
        <v>0</v>
      </c>
      <c r="N742" s="1098"/>
      <c r="O742" s="1098"/>
      <c r="P742" s="1098"/>
      <c r="Q742" s="1098"/>
      <c r="R742" s="1098">
        <f>+(M742/'Parametros Generales'!$C$9)</f>
        <v>0</v>
      </c>
      <c r="S742" s="395"/>
      <c r="T742" s="395"/>
      <c r="U742" s="395"/>
      <c r="V742" s="396"/>
      <c r="W742" s="376">
        <f>+R742*'Componentes T.H.'!$Q$9*'Parametros Generales'!$C$6</f>
        <v>0</v>
      </c>
      <c r="X742" s="376">
        <f>(+VLOOKUP(C742,'Transporte y Viaticos'!$B$87:$L$120,2,0)*'Parametros Generales'!$C$7*R742)*(2/3)</f>
        <v>0</v>
      </c>
      <c r="Y742" s="417"/>
      <c r="Z742" s="417"/>
      <c r="AA742" s="417"/>
      <c r="AB742" s="417">
        <f>+M742*'Parametros Generales'!$C$6*'Parametros Generales'!$J$9</f>
        <v>0</v>
      </c>
      <c r="AC742" s="417">
        <f>+H742*'Parametros Generales'!$J$10*'Parametros Generales'!$C$6*'Parametros Generales'!$C$11</f>
        <v>0</v>
      </c>
      <c r="AD742" s="417"/>
      <c r="AE742" s="417"/>
      <c r="AF742" s="417"/>
      <c r="AG742" s="417"/>
      <c r="AH742" s="417"/>
      <c r="AI742" s="417"/>
      <c r="AJ742" s="417"/>
      <c r="AK742" s="436"/>
      <c r="AL742" s="822"/>
    </row>
    <row r="743" spans="1:38" s="33" customFormat="1" hidden="1" outlineLevel="1">
      <c r="A743" s="1150"/>
      <c r="B743" s="823">
        <f t="shared" si="60"/>
        <v>50</v>
      </c>
      <c r="C743" s="373" t="str">
        <f t="shared" si="61"/>
        <v>META</v>
      </c>
      <c r="D743" s="374"/>
      <c r="E743" s="1113"/>
      <c r="F743" s="1104"/>
      <c r="G743" s="375"/>
      <c r="H743" s="1062"/>
      <c r="I743" s="1057"/>
      <c r="J743" s="1058"/>
      <c r="K743" s="1070" t="str">
        <f t="shared" si="56"/>
        <v>Ok</v>
      </c>
      <c r="L743" s="1077">
        <f t="shared" si="57"/>
        <v>0</v>
      </c>
      <c r="M743" s="1091">
        <f>+H743/'Parametros Generales'!$C$8</f>
        <v>0</v>
      </c>
      <c r="N743" s="1098"/>
      <c r="O743" s="1098"/>
      <c r="P743" s="1098"/>
      <c r="Q743" s="1098"/>
      <c r="R743" s="1098">
        <f>+(M743/'Parametros Generales'!$C$9)</f>
        <v>0</v>
      </c>
      <c r="S743" s="395"/>
      <c r="T743" s="395"/>
      <c r="U743" s="395"/>
      <c r="V743" s="396"/>
      <c r="W743" s="376">
        <f>+R743*'Componentes T.H.'!$Q$9*'Parametros Generales'!$C$6</f>
        <v>0</v>
      </c>
      <c r="X743" s="376">
        <f>(+VLOOKUP(C743,'Transporte y Viaticos'!$B$87:$L$120,2,0)*'Parametros Generales'!$C$7*R743)*(2/3)</f>
        <v>0</v>
      </c>
      <c r="Y743" s="417"/>
      <c r="Z743" s="417"/>
      <c r="AA743" s="417"/>
      <c r="AB743" s="417">
        <f>+M743*'Parametros Generales'!$C$6*'Parametros Generales'!$J$9</f>
        <v>0</v>
      </c>
      <c r="AC743" s="417">
        <f>+H743*'Parametros Generales'!$J$10*'Parametros Generales'!$C$6*'Parametros Generales'!$C$11</f>
        <v>0</v>
      </c>
      <c r="AD743" s="417"/>
      <c r="AE743" s="417"/>
      <c r="AF743" s="417"/>
      <c r="AG743" s="417"/>
      <c r="AH743" s="417"/>
      <c r="AI743" s="417"/>
      <c r="AJ743" s="417"/>
      <c r="AK743" s="436"/>
      <c r="AL743" s="822"/>
    </row>
    <row r="744" spans="1:38" s="33" customFormat="1" hidden="1" outlineLevel="1">
      <c r="A744" s="1150"/>
      <c r="B744" s="823">
        <f t="shared" si="60"/>
        <v>50</v>
      </c>
      <c r="C744" s="373" t="str">
        <f t="shared" si="61"/>
        <v>META</v>
      </c>
      <c r="D744" s="374"/>
      <c r="E744" s="1113"/>
      <c r="F744" s="1104"/>
      <c r="G744" s="375"/>
      <c r="H744" s="1062"/>
      <c r="I744" s="1057"/>
      <c r="J744" s="1058"/>
      <c r="K744" s="1070" t="str">
        <f t="shared" si="56"/>
        <v>Ok</v>
      </c>
      <c r="L744" s="1077">
        <f t="shared" si="57"/>
        <v>0</v>
      </c>
      <c r="M744" s="1091">
        <f>+H744/'Parametros Generales'!$C$8</f>
        <v>0</v>
      </c>
      <c r="N744" s="1098"/>
      <c r="O744" s="1098"/>
      <c r="P744" s="1098"/>
      <c r="Q744" s="1098"/>
      <c r="R744" s="1098">
        <f>+(M744/'Parametros Generales'!$C$9)</f>
        <v>0</v>
      </c>
      <c r="S744" s="395"/>
      <c r="T744" s="395"/>
      <c r="U744" s="395"/>
      <c r="V744" s="396"/>
      <c r="W744" s="376">
        <f>+R744*'Componentes T.H.'!$Q$9*'Parametros Generales'!$C$6</f>
        <v>0</v>
      </c>
      <c r="X744" s="376">
        <f>(+VLOOKUP(C744,'Transporte y Viaticos'!$B$87:$L$120,2,0)*'Parametros Generales'!$C$7*R744)*(2/3)</f>
        <v>0</v>
      </c>
      <c r="Y744" s="417"/>
      <c r="Z744" s="417"/>
      <c r="AA744" s="417"/>
      <c r="AB744" s="417">
        <f>+M744*'Parametros Generales'!$C$6*'Parametros Generales'!$J$9</f>
        <v>0</v>
      </c>
      <c r="AC744" s="417">
        <f>+H744*'Parametros Generales'!$J$10*'Parametros Generales'!$C$6*'Parametros Generales'!$C$11</f>
        <v>0</v>
      </c>
      <c r="AD744" s="417"/>
      <c r="AE744" s="417"/>
      <c r="AF744" s="417"/>
      <c r="AG744" s="417"/>
      <c r="AH744" s="417"/>
      <c r="AI744" s="417"/>
      <c r="AJ744" s="417"/>
      <c r="AK744" s="436"/>
      <c r="AL744" s="822"/>
    </row>
    <row r="745" spans="1:38" s="33" customFormat="1" hidden="1" outlineLevel="1">
      <c r="A745" s="1150"/>
      <c r="B745" s="823">
        <f t="shared" si="60"/>
        <v>50</v>
      </c>
      <c r="C745" s="373" t="str">
        <f t="shared" si="61"/>
        <v>META</v>
      </c>
      <c r="D745" s="374"/>
      <c r="E745" s="1113"/>
      <c r="F745" s="1104"/>
      <c r="G745" s="375"/>
      <c r="H745" s="1062"/>
      <c r="I745" s="1057"/>
      <c r="J745" s="1058"/>
      <c r="K745" s="1070" t="str">
        <f t="shared" si="56"/>
        <v>Ok</v>
      </c>
      <c r="L745" s="1077">
        <f t="shared" si="57"/>
        <v>0</v>
      </c>
      <c r="M745" s="1091">
        <f>+H745/'Parametros Generales'!$C$8</f>
        <v>0</v>
      </c>
      <c r="N745" s="1098"/>
      <c r="O745" s="1098"/>
      <c r="P745" s="1098"/>
      <c r="Q745" s="1098"/>
      <c r="R745" s="1098">
        <f>+(M745/'Parametros Generales'!$C$9)</f>
        <v>0</v>
      </c>
      <c r="S745" s="395"/>
      <c r="T745" s="395"/>
      <c r="U745" s="395"/>
      <c r="V745" s="396"/>
      <c r="W745" s="376">
        <f>+R745*'Componentes T.H.'!$Q$9*'Parametros Generales'!$C$6</f>
        <v>0</v>
      </c>
      <c r="X745" s="376">
        <f>(+VLOOKUP(C745,'Transporte y Viaticos'!$B$87:$L$120,2,0)*'Parametros Generales'!$C$7*R745)*(2/3)</f>
        <v>0</v>
      </c>
      <c r="Y745" s="417"/>
      <c r="Z745" s="417"/>
      <c r="AA745" s="417"/>
      <c r="AB745" s="417">
        <f>+M745*'Parametros Generales'!$C$6*'Parametros Generales'!$J$9</f>
        <v>0</v>
      </c>
      <c r="AC745" s="417">
        <f>+H745*'Parametros Generales'!$J$10*'Parametros Generales'!$C$6*'Parametros Generales'!$C$11</f>
        <v>0</v>
      </c>
      <c r="AD745" s="417"/>
      <c r="AE745" s="417"/>
      <c r="AF745" s="417"/>
      <c r="AG745" s="417"/>
      <c r="AH745" s="417"/>
      <c r="AI745" s="417"/>
      <c r="AJ745" s="417"/>
      <c r="AK745" s="436"/>
      <c r="AL745" s="822"/>
    </row>
    <row r="746" spans="1:38" s="33" customFormat="1" hidden="1" outlineLevel="1">
      <c r="A746" s="1150"/>
      <c r="B746" s="823">
        <f t="shared" si="60"/>
        <v>50</v>
      </c>
      <c r="C746" s="373" t="str">
        <f t="shared" si="61"/>
        <v>META</v>
      </c>
      <c r="D746" s="374"/>
      <c r="E746" s="1113"/>
      <c r="F746" s="1104"/>
      <c r="G746" s="375"/>
      <c r="H746" s="1062"/>
      <c r="I746" s="1057"/>
      <c r="J746" s="1058"/>
      <c r="K746" s="1070" t="str">
        <f t="shared" si="56"/>
        <v>Ok</v>
      </c>
      <c r="L746" s="1077">
        <f t="shared" si="57"/>
        <v>0</v>
      </c>
      <c r="M746" s="1091">
        <f>+H746/'Parametros Generales'!$C$8</f>
        <v>0</v>
      </c>
      <c r="N746" s="1098"/>
      <c r="O746" s="1098"/>
      <c r="P746" s="1098"/>
      <c r="Q746" s="1098"/>
      <c r="R746" s="1098">
        <f>+(M746/'Parametros Generales'!$C$9)</f>
        <v>0</v>
      </c>
      <c r="S746" s="395"/>
      <c r="T746" s="395"/>
      <c r="U746" s="395"/>
      <c r="V746" s="396"/>
      <c r="W746" s="376">
        <f>+R746*'Componentes T.H.'!$Q$9*'Parametros Generales'!$C$6</f>
        <v>0</v>
      </c>
      <c r="X746" s="376">
        <f>(+VLOOKUP(C746,'Transporte y Viaticos'!$B$87:$L$120,2,0)*'Parametros Generales'!$C$7*R746)*(2/3)</f>
        <v>0</v>
      </c>
      <c r="Y746" s="417"/>
      <c r="Z746" s="417"/>
      <c r="AA746" s="417"/>
      <c r="AB746" s="417">
        <f>+M746*'Parametros Generales'!$C$6*'Parametros Generales'!$J$9</f>
        <v>0</v>
      </c>
      <c r="AC746" s="417">
        <f>+H746*'Parametros Generales'!$J$10*'Parametros Generales'!$C$6*'Parametros Generales'!$C$11</f>
        <v>0</v>
      </c>
      <c r="AD746" s="417"/>
      <c r="AE746" s="417"/>
      <c r="AF746" s="417"/>
      <c r="AG746" s="417"/>
      <c r="AH746" s="417"/>
      <c r="AI746" s="417"/>
      <c r="AJ746" s="417"/>
      <c r="AK746" s="436"/>
      <c r="AL746" s="822"/>
    </row>
    <row r="747" spans="1:38" s="33" customFormat="1" hidden="1" outlineLevel="1">
      <c r="A747" s="1150"/>
      <c r="B747" s="823">
        <f t="shared" si="60"/>
        <v>50</v>
      </c>
      <c r="C747" s="373" t="str">
        <f t="shared" si="61"/>
        <v>META</v>
      </c>
      <c r="D747" s="374"/>
      <c r="E747" s="1113"/>
      <c r="F747" s="1104"/>
      <c r="G747" s="375"/>
      <c r="H747" s="1062"/>
      <c r="I747" s="1057"/>
      <c r="J747" s="1058"/>
      <c r="K747" s="1070" t="str">
        <f t="shared" si="56"/>
        <v>Ok</v>
      </c>
      <c r="L747" s="1077">
        <f t="shared" si="57"/>
        <v>0</v>
      </c>
      <c r="M747" s="1091">
        <f>+H747/'Parametros Generales'!$C$8</f>
        <v>0</v>
      </c>
      <c r="N747" s="1098"/>
      <c r="O747" s="1098"/>
      <c r="P747" s="1098"/>
      <c r="Q747" s="1098"/>
      <c r="R747" s="1098">
        <f>+(M747/'Parametros Generales'!$C$9)</f>
        <v>0</v>
      </c>
      <c r="S747" s="395"/>
      <c r="T747" s="395"/>
      <c r="U747" s="395"/>
      <c r="V747" s="396"/>
      <c r="W747" s="376">
        <f>+R747*'Componentes T.H.'!$Q$9*'Parametros Generales'!$C$6</f>
        <v>0</v>
      </c>
      <c r="X747" s="376">
        <f>(+VLOOKUP(C747,'Transporte y Viaticos'!$B$87:$L$120,2,0)*'Parametros Generales'!$C$7*R747)*(2/3)</f>
        <v>0</v>
      </c>
      <c r="Y747" s="417"/>
      <c r="Z747" s="417"/>
      <c r="AA747" s="417"/>
      <c r="AB747" s="417">
        <f>+M747*'Parametros Generales'!$C$6*'Parametros Generales'!$J$9</f>
        <v>0</v>
      </c>
      <c r="AC747" s="417">
        <f>+H747*'Parametros Generales'!$J$10*'Parametros Generales'!$C$6*'Parametros Generales'!$C$11</f>
        <v>0</v>
      </c>
      <c r="AD747" s="417"/>
      <c r="AE747" s="417"/>
      <c r="AF747" s="417"/>
      <c r="AG747" s="417"/>
      <c r="AH747" s="417"/>
      <c r="AI747" s="417"/>
      <c r="AJ747" s="417"/>
      <c r="AK747" s="436"/>
      <c r="AL747" s="822"/>
    </row>
    <row r="748" spans="1:38" s="33" customFormat="1" hidden="1" outlineLevel="1">
      <c r="A748" s="1150"/>
      <c r="B748" s="823">
        <f t="shared" si="60"/>
        <v>50</v>
      </c>
      <c r="C748" s="373" t="str">
        <f t="shared" si="61"/>
        <v>META</v>
      </c>
      <c r="D748" s="374"/>
      <c r="E748" s="1113"/>
      <c r="F748" s="1104"/>
      <c r="G748" s="375"/>
      <c r="H748" s="1062"/>
      <c r="I748" s="1057"/>
      <c r="J748" s="1058"/>
      <c r="K748" s="1070" t="str">
        <f t="shared" si="56"/>
        <v>Ok</v>
      </c>
      <c r="L748" s="1077">
        <f t="shared" si="57"/>
        <v>0</v>
      </c>
      <c r="M748" s="1091">
        <f>+H748/'Parametros Generales'!$C$8</f>
        <v>0</v>
      </c>
      <c r="N748" s="1098"/>
      <c r="O748" s="1098"/>
      <c r="P748" s="1098"/>
      <c r="Q748" s="1098"/>
      <c r="R748" s="1098">
        <f>+(M748/'Parametros Generales'!$C$9)</f>
        <v>0</v>
      </c>
      <c r="S748" s="395"/>
      <c r="T748" s="395"/>
      <c r="U748" s="395"/>
      <c r="V748" s="396"/>
      <c r="W748" s="376">
        <f>+R748*'Componentes T.H.'!$Q$9*'Parametros Generales'!$C$6</f>
        <v>0</v>
      </c>
      <c r="X748" s="376">
        <f>(+VLOOKUP(C748,'Transporte y Viaticos'!$B$87:$L$120,2,0)*'Parametros Generales'!$C$7*R748)*(2/3)</f>
        <v>0</v>
      </c>
      <c r="Y748" s="417"/>
      <c r="Z748" s="417"/>
      <c r="AA748" s="417"/>
      <c r="AB748" s="417">
        <f>+M748*'Parametros Generales'!$C$6*'Parametros Generales'!$J$9</f>
        <v>0</v>
      </c>
      <c r="AC748" s="417">
        <f>+H748*'Parametros Generales'!$J$10*'Parametros Generales'!$C$6*'Parametros Generales'!$C$11</f>
        <v>0</v>
      </c>
      <c r="AD748" s="417"/>
      <c r="AE748" s="417"/>
      <c r="AF748" s="417"/>
      <c r="AG748" s="417"/>
      <c r="AH748" s="417"/>
      <c r="AI748" s="417"/>
      <c r="AJ748" s="417"/>
      <c r="AK748" s="436"/>
      <c r="AL748" s="822"/>
    </row>
    <row r="749" spans="1:38" s="33" customFormat="1" hidden="1" outlineLevel="1">
      <c r="A749" s="1150"/>
      <c r="B749" s="823">
        <f t="shared" si="60"/>
        <v>50</v>
      </c>
      <c r="C749" s="373" t="str">
        <f t="shared" si="61"/>
        <v>META</v>
      </c>
      <c r="D749" s="374"/>
      <c r="E749" s="1113"/>
      <c r="F749" s="1104"/>
      <c r="G749" s="375"/>
      <c r="H749" s="1062"/>
      <c r="I749" s="1057"/>
      <c r="J749" s="1058"/>
      <c r="K749" s="1070" t="str">
        <f t="shared" si="56"/>
        <v>Ok</v>
      </c>
      <c r="L749" s="1077">
        <f t="shared" si="57"/>
        <v>0</v>
      </c>
      <c r="M749" s="1091">
        <f>+H749/'Parametros Generales'!$C$8</f>
        <v>0</v>
      </c>
      <c r="N749" s="1098"/>
      <c r="O749" s="1098"/>
      <c r="P749" s="1098"/>
      <c r="Q749" s="1098"/>
      <c r="R749" s="1098">
        <f>+(M749/'Parametros Generales'!$C$9)</f>
        <v>0</v>
      </c>
      <c r="S749" s="395"/>
      <c r="T749" s="395"/>
      <c r="U749" s="395"/>
      <c r="V749" s="396"/>
      <c r="W749" s="376">
        <f>+R749*'Componentes T.H.'!$Q$9*'Parametros Generales'!$C$6</f>
        <v>0</v>
      </c>
      <c r="X749" s="376">
        <f>(+VLOOKUP(C749,'Transporte y Viaticos'!$B$87:$L$120,2,0)*'Parametros Generales'!$C$7*R749)*(2/3)</f>
        <v>0</v>
      </c>
      <c r="Y749" s="417"/>
      <c r="Z749" s="417"/>
      <c r="AA749" s="417"/>
      <c r="AB749" s="417">
        <f>+M749*'Parametros Generales'!$C$6*'Parametros Generales'!$J$9</f>
        <v>0</v>
      </c>
      <c r="AC749" s="417">
        <f>+H749*'Parametros Generales'!$J$10*'Parametros Generales'!$C$6*'Parametros Generales'!$C$11</f>
        <v>0</v>
      </c>
      <c r="AD749" s="417"/>
      <c r="AE749" s="417"/>
      <c r="AF749" s="417"/>
      <c r="AG749" s="417"/>
      <c r="AH749" s="417"/>
      <c r="AI749" s="417"/>
      <c r="AJ749" s="417"/>
      <c r="AK749" s="436"/>
      <c r="AL749" s="822"/>
    </row>
    <row r="750" spans="1:38" s="33" customFormat="1" hidden="1" outlineLevel="1">
      <c r="A750" s="1150"/>
      <c r="B750" s="823">
        <f t="shared" si="60"/>
        <v>50</v>
      </c>
      <c r="C750" s="373" t="str">
        <f t="shared" si="61"/>
        <v>META</v>
      </c>
      <c r="D750" s="374"/>
      <c r="E750" s="1113"/>
      <c r="F750" s="1104"/>
      <c r="G750" s="375"/>
      <c r="H750" s="1062"/>
      <c r="I750" s="1057"/>
      <c r="J750" s="1058"/>
      <c r="K750" s="1070" t="str">
        <f t="shared" si="56"/>
        <v>Ok</v>
      </c>
      <c r="L750" s="1077">
        <f t="shared" si="57"/>
        <v>0</v>
      </c>
      <c r="M750" s="1091">
        <f>+H750/'Parametros Generales'!$C$8</f>
        <v>0</v>
      </c>
      <c r="N750" s="1098"/>
      <c r="O750" s="1098"/>
      <c r="P750" s="1098"/>
      <c r="Q750" s="1098"/>
      <c r="R750" s="1098">
        <f>+(M750/'Parametros Generales'!$C$9)</f>
        <v>0</v>
      </c>
      <c r="S750" s="395"/>
      <c r="T750" s="395"/>
      <c r="U750" s="395"/>
      <c r="V750" s="396"/>
      <c r="W750" s="376">
        <f>+R750*'Componentes T.H.'!$Q$9*'Parametros Generales'!$C$6</f>
        <v>0</v>
      </c>
      <c r="X750" s="376">
        <f>(+VLOOKUP(C750,'Transporte y Viaticos'!$B$87:$L$120,2,0)*'Parametros Generales'!$C$7*R750)*(2/3)</f>
        <v>0</v>
      </c>
      <c r="Y750" s="417"/>
      <c r="Z750" s="417"/>
      <c r="AA750" s="417"/>
      <c r="AB750" s="417">
        <f>+M750*'Parametros Generales'!$C$6*'Parametros Generales'!$J$9</f>
        <v>0</v>
      </c>
      <c r="AC750" s="417">
        <f>+H750*'Parametros Generales'!$J$10*'Parametros Generales'!$C$6*'Parametros Generales'!$C$11</f>
        <v>0</v>
      </c>
      <c r="AD750" s="417"/>
      <c r="AE750" s="417"/>
      <c r="AF750" s="417"/>
      <c r="AG750" s="417"/>
      <c r="AH750" s="417"/>
      <c r="AI750" s="417"/>
      <c r="AJ750" s="417"/>
      <c r="AK750" s="436"/>
      <c r="AL750" s="822"/>
    </row>
    <row r="751" spans="1:38" s="33" customFormat="1" hidden="1" outlineLevel="1">
      <c r="A751" s="1150"/>
      <c r="B751" s="823">
        <f t="shared" si="60"/>
        <v>50</v>
      </c>
      <c r="C751" s="373" t="str">
        <f t="shared" si="61"/>
        <v>META</v>
      </c>
      <c r="D751" s="374"/>
      <c r="E751" s="1113"/>
      <c r="F751" s="1104"/>
      <c r="G751" s="375"/>
      <c r="H751" s="1062"/>
      <c r="I751" s="1057"/>
      <c r="J751" s="1058"/>
      <c r="K751" s="1070" t="str">
        <f t="shared" si="56"/>
        <v>Ok</v>
      </c>
      <c r="L751" s="1077">
        <f t="shared" si="57"/>
        <v>0</v>
      </c>
      <c r="M751" s="1091">
        <f>+H751/'Parametros Generales'!$C$8</f>
        <v>0</v>
      </c>
      <c r="N751" s="1098"/>
      <c r="O751" s="1098"/>
      <c r="P751" s="1098"/>
      <c r="Q751" s="1098"/>
      <c r="R751" s="1098">
        <f>+(M751/'Parametros Generales'!$C$9)</f>
        <v>0</v>
      </c>
      <c r="S751" s="395"/>
      <c r="T751" s="395"/>
      <c r="U751" s="395"/>
      <c r="V751" s="396"/>
      <c r="W751" s="376">
        <f>+R751*'Componentes T.H.'!$Q$9*'Parametros Generales'!$C$6</f>
        <v>0</v>
      </c>
      <c r="X751" s="376">
        <f>(+VLOOKUP(C751,'Transporte y Viaticos'!$B$87:$L$120,2,0)*'Parametros Generales'!$C$7*R751)*(2/3)</f>
        <v>0</v>
      </c>
      <c r="Y751" s="417"/>
      <c r="Z751" s="417"/>
      <c r="AA751" s="417"/>
      <c r="AB751" s="417">
        <f>+M751*'Parametros Generales'!$C$6*'Parametros Generales'!$J$9</f>
        <v>0</v>
      </c>
      <c r="AC751" s="417">
        <f>+H751*'Parametros Generales'!$J$10*'Parametros Generales'!$C$6*'Parametros Generales'!$C$11</f>
        <v>0</v>
      </c>
      <c r="AD751" s="417"/>
      <c r="AE751" s="417"/>
      <c r="AF751" s="417"/>
      <c r="AG751" s="417"/>
      <c r="AH751" s="417"/>
      <c r="AI751" s="417"/>
      <c r="AJ751" s="417"/>
      <c r="AK751" s="436"/>
      <c r="AL751" s="822"/>
    </row>
    <row r="752" spans="1:38" s="33" customFormat="1" hidden="1" outlineLevel="1">
      <c r="A752" s="1150"/>
      <c r="B752" s="823">
        <f t="shared" si="60"/>
        <v>50</v>
      </c>
      <c r="C752" s="373" t="str">
        <f t="shared" si="61"/>
        <v>META</v>
      </c>
      <c r="D752" s="374"/>
      <c r="E752" s="1113"/>
      <c r="F752" s="1104"/>
      <c r="G752" s="375"/>
      <c r="H752" s="1062"/>
      <c r="I752" s="1057"/>
      <c r="J752" s="1058"/>
      <c r="K752" s="1070" t="str">
        <f t="shared" si="56"/>
        <v>Ok</v>
      </c>
      <c r="L752" s="1077">
        <f t="shared" si="57"/>
        <v>0</v>
      </c>
      <c r="M752" s="1091">
        <f>+H752/'Parametros Generales'!$C$8</f>
        <v>0</v>
      </c>
      <c r="N752" s="1098"/>
      <c r="O752" s="1098"/>
      <c r="P752" s="1098"/>
      <c r="Q752" s="1098"/>
      <c r="R752" s="1098">
        <f>+(M752/'Parametros Generales'!$C$9)</f>
        <v>0</v>
      </c>
      <c r="S752" s="395"/>
      <c r="T752" s="395"/>
      <c r="U752" s="395"/>
      <c r="V752" s="396"/>
      <c r="W752" s="376">
        <f>+R752*'Componentes T.H.'!$Q$9*'Parametros Generales'!$C$6</f>
        <v>0</v>
      </c>
      <c r="X752" s="376">
        <f>(+VLOOKUP(C752,'Transporte y Viaticos'!$B$87:$L$120,2,0)*'Parametros Generales'!$C$7*R752)*(2/3)</f>
        <v>0</v>
      </c>
      <c r="Y752" s="417"/>
      <c r="Z752" s="417"/>
      <c r="AA752" s="417"/>
      <c r="AB752" s="417">
        <f>+M752*'Parametros Generales'!$C$6*'Parametros Generales'!$J$9</f>
        <v>0</v>
      </c>
      <c r="AC752" s="417">
        <f>+H752*'Parametros Generales'!$J$10*'Parametros Generales'!$C$6*'Parametros Generales'!$C$11</f>
        <v>0</v>
      </c>
      <c r="AD752" s="417"/>
      <c r="AE752" s="417"/>
      <c r="AF752" s="417"/>
      <c r="AG752" s="417"/>
      <c r="AH752" s="417"/>
      <c r="AI752" s="417"/>
      <c r="AJ752" s="417"/>
      <c r="AK752" s="436"/>
      <c r="AL752" s="822"/>
    </row>
    <row r="753" spans="1:38" s="33" customFormat="1" hidden="1" outlineLevel="1">
      <c r="A753" s="1150"/>
      <c r="B753" s="823">
        <f t="shared" si="60"/>
        <v>50</v>
      </c>
      <c r="C753" s="373" t="str">
        <f t="shared" si="61"/>
        <v>META</v>
      </c>
      <c r="D753" s="374"/>
      <c r="E753" s="1113"/>
      <c r="F753" s="1104"/>
      <c r="G753" s="375"/>
      <c r="H753" s="1062"/>
      <c r="I753" s="1057"/>
      <c r="J753" s="1058"/>
      <c r="K753" s="1070" t="str">
        <f t="shared" si="56"/>
        <v>Ok</v>
      </c>
      <c r="L753" s="1077">
        <f t="shared" si="57"/>
        <v>0</v>
      </c>
      <c r="M753" s="1091">
        <f>+H753/'Parametros Generales'!$C$8</f>
        <v>0</v>
      </c>
      <c r="N753" s="1098"/>
      <c r="O753" s="1098"/>
      <c r="P753" s="1098"/>
      <c r="Q753" s="1098"/>
      <c r="R753" s="1098">
        <f>+(M753/'Parametros Generales'!$C$9)</f>
        <v>0</v>
      </c>
      <c r="S753" s="395"/>
      <c r="T753" s="395"/>
      <c r="U753" s="395"/>
      <c r="V753" s="396"/>
      <c r="W753" s="376">
        <f>+R753*'Componentes T.H.'!$Q$9*'Parametros Generales'!$C$6</f>
        <v>0</v>
      </c>
      <c r="X753" s="376">
        <f>(+VLOOKUP(C753,'Transporte y Viaticos'!$B$87:$L$120,2,0)*'Parametros Generales'!$C$7*R753)*(2/3)</f>
        <v>0</v>
      </c>
      <c r="Y753" s="417"/>
      <c r="Z753" s="417"/>
      <c r="AA753" s="417"/>
      <c r="AB753" s="417">
        <f>+M753*'Parametros Generales'!$C$6*'Parametros Generales'!$J$9</f>
        <v>0</v>
      </c>
      <c r="AC753" s="417">
        <f>+H753*'Parametros Generales'!$J$10*'Parametros Generales'!$C$6*'Parametros Generales'!$C$11</f>
        <v>0</v>
      </c>
      <c r="AD753" s="417"/>
      <c r="AE753" s="417"/>
      <c r="AF753" s="417"/>
      <c r="AG753" s="417"/>
      <c r="AH753" s="417"/>
      <c r="AI753" s="417"/>
      <c r="AJ753" s="417"/>
      <c r="AK753" s="436"/>
      <c r="AL753" s="822"/>
    </row>
    <row r="754" spans="1:38" s="33" customFormat="1" hidden="1" outlineLevel="1">
      <c r="A754" s="1150"/>
      <c r="B754" s="823">
        <f t="shared" si="60"/>
        <v>50</v>
      </c>
      <c r="C754" s="373" t="str">
        <f t="shared" si="61"/>
        <v>META</v>
      </c>
      <c r="D754" s="374"/>
      <c r="E754" s="1113"/>
      <c r="F754" s="1104"/>
      <c r="G754" s="375"/>
      <c r="H754" s="1062"/>
      <c r="I754" s="1057"/>
      <c r="J754" s="1058"/>
      <c r="K754" s="1070" t="str">
        <f t="shared" si="56"/>
        <v>Ok</v>
      </c>
      <c r="L754" s="1077">
        <f t="shared" si="57"/>
        <v>0</v>
      </c>
      <c r="M754" s="1091">
        <f>+H754/'Parametros Generales'!$C$8</f>
        <v>0</v>
      </c>
      <c r="N754" s="1098"/>
      <c r="O754" s="1098"/>
      <c r="P754" s="1098"/>
      <c r="Q754" s="1098"/>
      <c r="R754" s="1098">
        <f>+(M754/'Parametros Generales'!$C$9)</f>
        <v>0</v>
      </c>
      <c r="S754" s="395"/>
      <c r="T754" s="395"/>
      <c r="U754" s="395"/>
      <c r="V754" s="396"/>
      <c r="W754" s="376">
        <f>+R754*'Componentes T.H.'!$Q$9*'Parametros Generales'!$C$6</f>
        <v>0</v>
      </c>
      <c r="X754" s="376">
        <f>(+VLOOKUP(C754,'Transporte y Viaticos'!$B$87:$L$120,2,0)*'Parametros Generales'!$C$7*R754)*(2/3)</f>
        <v>0</v>
      </c>
      <c r="Y754" s="417"/>
      <c r="Z754" s="417"/>
      <c r="AA754" s="417"/>
      <c r="AB754" s="417">
        <f>+M754*'Parametros Generales'!$C$6*'Parametros Generales'!$J$9</f>
        <v>0</v>
      </c>
      <c r="AC754" s="417">
        <f>+H754*'Parametros Generales'!$J$10*'Parametros Generales'!$C$6*'Parametros Generales'!$C$11</f>
        <v>0</v>
      </c>
      <c r="AD754" s="417"/>
      <c r="AE754" s="417"/>
      <c r="AF754" s="417"/>
      <c r="AG754" s="417"/>
      <c r="AH754" s="417"/>
      <c r="AI754" s="417"/>
      <c r="AJ754" s="417"/>
      <c r="AK754" s="436"/>
      <c r="AL754" s="822"/>
    </row>
    <row r="755" spans="1:38" s="33" customFormat="1" hidden="1" outlineLevel="1">
      <c r="A755" s="1150"/>
      <c r="B755" s="823">
        <f t="shared" si="60"/>
        <v>50</v>
      </c>
      <c r="C755" s="373" t="str">
        <f t="shared" si="61"/>
        <v>META</v>
      </c>
      <c r="D755" s="374"/>
      <c r="E755" s="1113"/>
      <c r="F755" s="1104"/>
      <c r="G755" s="375"/>
      <c r="H755" s="1062"/>
      <c r="I755" s="1057"/>
      <c r="J755" s="1058"/>
      <c r="K755" s="1070" t="str">
        <f t="shared" si="56"/>
        <v>Ok</v>
      </c>
      <c r="L755" s="1077">
        <f t="shared" si="57"/>
        <v>0</v>
      </c>
      <c r="M755" s="1091">
        <f>+H755/'Parametros Generales'!$C$8</f>
        <v>0</v>
      </c>
      <c r="N755" s="1098"/>
      <c r="O755" s="1098"/>
      <c r="P755" s="1098"/>
      <c r="Q755" s="1098"/>
      <c r="R755" s="1098">
        <f>+(M755/'Parametros Generales'!$C$9)</f>
        <v>0</v>
      </c>
      <c r="S755" s="395"/>
      <c r="T755" s="395"/>
      <c r="U755" s="395"/>
      <c r="V755" s="396"/>
      <c r="W755" s="376">
        <f>+R755*'Componentes T.H.'!$Q$9*'Parametros Generales'!$C$6</f>
        <v>0</v>
      </c>
      <c r="X755" s="376">
        <f>(+VLOOKUP(C755,'Transporte y Viaticos'!$B$87:$L$120,2,0)*'Parametros Generales'!$C$7*R755)*(2/3)</f>
        <v>0</v>
      </c>
      <c r="Y755" s="417"/>
      <c r="Z755" s="417"/>
      <c r="AA755" s="417"/>
      <c r="AB755" s="417">
        <f>+M755*'Parametros Generales'!$C$6*'Parametros Generales'!$J$9</f>
        <v>0</v>
      </c>
      <c r="AC755" s="417">
        <f>+H755*'Parametros Generales'!$J$10*'Parametros Generales'!$C$6*'Parametros Generales'!$C$11</f>
        <v>0</v>
      </c>
      <c r="AD755" s="417"/>
      <c r="AE755" s="417"/>
      <c r="AF755" s="417"/>
      <c r="AG755" s="417"/>
      <c r="AH755" s="417"/>
      <c r="AI755" s="417"/>
      <c r="AJ755" s="417"/>
      <c r="AK755" s="436"/>
      <c r="AL755" s="822"/>
    </row>
    <row r="756" spans="1:38" s="33" customFormat="1" hidden="1" outlineLevel="1">
      <c r="A756" s="1150"/>
      <c r="B756" s="823">
        <f t="shared" si="60"/>
        <v>50</v>
      </c>
      <c r="C756" s="373" t="str">
        <f t="shared" si="61"/>
        <v>META</v>
      </c>
      <c r="D756" s="374"/>
      <c r="E756" s="1113"/>
      <c r="F756" s="1104"/>
      <c r="G756" s="375"/>
      <c r="H756" s="1062"/>
      <c r="I756" s="1057"/>
      <c r="J756" s="1058"/>
      <c r="K756" s="1070" t="str">
        <f t="shared" si="56"/>
        <v>Ok</v>
      </c>
      <c r="L756" s="1077">
        <f t="shared" si="57"/>
        <v>0</v>
      </c>
      <c r="M756" s="1091">
        <f>+H756/'Parametros Generales'!$C$8</f>
        <v>0</v>
      </c>
      <c r="N756" s="1098"/>
      <c r="O756" s="1098"/>
      <c r="P756" s="1098"/>
      <c r="Q756" s="1098"/>
      <c r="R756" s="1098">
        <f>+(M756/'Parametros Generales'!$C$9)</f>
        <v>0</v>
      </c>
      <c r="S756" s="395"/>
      <c r="T756" s="395"/>
      <c r="U756" s="395"/>
      <c r="V756" s="396"/>
      <c r="W756" s="376">
        <f>+R756*'Componentes T.H.'!$Q$9*'Parametros Generales'!$C$6</f>
        <v>0</v>
      </c>
      <c r="X756" s="376">
        <f>(+VLOOKUP(C756,'Transporte y Viaticos'!$B$87:$L$120,2,0)*'Parametros Generales'!$C$7*R756)*(2/3)</f>
        <v>0</v>
      </c>
      <c r="Y756" s="417"/>
      <c r="Z756" s="417"/>
      <c r="AA756" s="417"/>
      <c r="AB756" s="417">
        <f>+M756*'Parametros Generales'!$C$6*'Parametros Generales'!$J$9</f>
        <v>0</v>
      </c>
      <c r="AC756" s="417">
        <f>+H756*'Parametros Generales'!$J$10*'Parametros Generales'!$C$6*'Parametros Generales'!$C$11</f>
        <v>0</v>
      </c>
      <c r="AD756" s="417"/>
      <c r="AE756" s="417"/>
      <c r="AF756" s="417"/>
      <c r="AG756" s="417"/>
      <c r="AH756" s="417"/>
      <c r="AI756" s="417"/>
      <c r="AJ756" s="417"/>
      <c r="AK756" s="436"/>
      <c r="AL756" s="822"/>
    </row>
    <row r="757" spans="1:38" s="392" customFormat="1" collapsed="1">
      <c r="A757" s="1151">
        <v>17</v>
      </c>
      <c r="B757" s="824">
        <v>52</v>
      </c>
      <c r="C757" s="385" t="s">
        <v>484</v>
      </c>
      <c r="D757" s="386"/>
      <c r="E757" s="1114" t="s">
        <v>2410</v>
      </c>
      <c r="F757" s="1105">
        <f>SUM(F758)</f>
        <v>1</v>
      </c>
      <c r="G757" s="388">
        <f>+SUM(G758:G822)</f>
        <v>30294</v>
      </c>
      <c r="H757" s="512">
        <f>+SUM(H758)</f>
        <v>2200</v>
      </c>
      <c r="I757" s="1057" t="s">
        <v>2410</v>
      </c>
      <c r="J757" s="1068">
        <f>+SUM(J758)</f>
        <v>2200</v>
      </c>
      <c r="K757" s="1073" t="str">
        <f t="shared" si="56"/>
        <v>Ok</v>
      </c>
      <c r="L757" s="1077">
        <f t="shared" si="57"/>
        <v>0</v>
      </c>
      <c r="M757" s="512">
        <f>+SUM(M758)</f>
        <v>88</v>
      </c>
      <c r="N757" s="1073">
        <f>+VLOOKUP(H757,'Parametros Generales'!$B$14:$D$17,3,TRUE)</f>
        <v>0.6</v>
      </c>
      <c r="O757" s="1073">
        <f>+VLOOKUP(H757,'Parametros Generales'!$B$14:$D$17,3,TRUE)</f>
        <v>0.6</v>
      </c>
      <c r="P757" s="1073">
        <f>+VLOOKUP(H757,'Parametros Generales'!$B$14:$D$17,3,TRUE)</f>
        <v>0.6</v>
      </c>
      <c r="Q757" s="1073">
        <f>+R757/'Parametros Generales'!$C$10</f>
        <v>2.75</v>
      </c>
      <c r="R757" s="512">
        <f>+SUM(R758)</f>
        <v>22</v>
      </c>
      <c r="S757" s="390">
        <f>+VLOOKUP(S$1,'Componentes T.H.'!$B$4:$R$22,'Componentes T.H.'!$Q$1,0)*'Parametros Generales'!$C$6*'Cost x Depart'!N757</f>
        <v>8794058.4826000016</v>
      </c>
      <c r="T757" s="390">
        <f>+VLOOKUP(T$1,'Componentes T.H.'!$B$4:$R$22,'Componentes T.H.'!$Q$1,0)*'Parametros Generales'!$C$6*'Cost x Depart'!O757</f>
        <v>6626289.3953999998</v>
      </c>
      <c r="U757" s="390">
        <f>+VLOOKUP(U$1,'Componentes T.H.'!$B$4:$R$22,'Componentes T.H.'!$Q$1,0)*'Parametros Generales'!$C$6*'Cost x Depart'!P757</f>
        <v>2934259.1999999997</v>
      </c>
      <c r="V757" s="389">
        <f>+VLOOKUP(V$1,'Componentes T.H.'!$B$4:$R$22,'Componentes T.H.'!$Q$1,0)*'Parametros Generales'!$C$6*'Cost x Depart'!Q757</f>
        <v>27475380.719416667</v>
      </c>
      <c r="W757" s="512">
        <f>+SUM(W758)</f>
        <v>110407155.56199999</v>
      </c>
      <c r="X757" s="512">
        <f>+SUM(X758)</f>
        <v>16959821.156314768</v>
      </c>
      <c r="Y757" s="391">
        <f>+VLOOKUP(C758,'Transporte y Viaticos'!$B$87:$F$120,2,0)*((O757/'Parametros Generales'!$J$14)+(Q757/'Parametros Generales'!$J$15)+(R757/'Parametros Generales'!$J$16))*'Parametros Generales'!$C$6</f>
        <v>829682.15997653489</v>
      </c>
      <c r="Z757" s="391">
        <f>+(N757+O757+Q757)*'Parametros Generales'!$C$6*'Parametros Generales'!$J$7</f>
        <v>776649</v>
      </c>
      <c r="AA757" s="391">
        <f>+SUM(N757:R757)*'Parametros Generales'!$C$6*'Parametros Generales'!$J$8</f>
        <v>4765725</v>
      </c>
      <c r="AB757" s="512">
        <f>+SUM(AB758)</f>
        <v>42848000.000000007</v>
      </c>
      <c r="AC757" s="512">
        <f>+SUM(AC758)</f>
        <v>162123486.4414179</v>
      </c>
      <c r="AD757" s="391">
        <f>+'Parametros Generales'!$J$11*SUM(N757:R757)</f>
        <v>893142</v>
      </c>
      <c r="AE757" s="436">
        <f>+SUM(S757:AD757)</f>
        <v>385433649.11712587</v>
      </c>
      <c r="AF757" s="391">
        <f>+AE757*(SUM('Res de Costos Pais'!G117:G117))</f>
        <v>26402204.964523125</v>
      </c>
      <c r="AG757" s="391">
        <f>+AE757+AF757</f>
        <v>411835854.08164901</v>
      </c>
      <c r="AH757" s="391">
        <f>+AG757*SUM('Res de Costos Pais'!$G$123:$G$124)</f>
        <v>3978334.3504287293</v>
      </c>
      <c r="AI757" s="391">
        <f>+(AG757+AH757)*'Res de Costos Pais'!$G$136</f>
        <v>1122698.3087666098</v>
      </c>
      <c r="AJ757" s="391">
        <f>+(AG757+AH757+AI757)*'Res de Costos Pais'!$G$140</f>
        <v>1667747.5469633772</v>
      </c>
      <c r="AK757" s="391">
        <f>+AG757+AH757+AI757+AJ757</f>
        <v>418604634.2878077</v>
      </c>
      <c r="AL757" s="820">
        <f>IF(ISERROR((+(AK757/H757)/'Parametros Generales'!$C$6)),0,(+(AK757/H757)/'Parametros Generales'!$C$6))</f>
        <v>38054.96675343706</v>
      </c>
    </row>
    <row r="758" spans="1:38" s="33" customFormat="1" hidden="1" outlineLevel="1">
      <c r="A758" s="1150"/>
      <c r="B758" s="819">
        <v>52</v>
      </c>
      <c r="C758" s="377" t="s">
        <v>484</v>
      </c>
      <c r="D758" s="378">
        <f>+VLOOKUP(E758,Codigos!$A$1:$B$1123,2,0)</f>
        <v>52001</v>
      </c>
      <c r="E758" s="1120" t="s">
        <v>2056</v>
      </c>
      <c r="F758" s="1102">
        <v>1</v>
      </c>
      <c r="G758" s="379">
        <v>2178</v>
      </c>
      <c r="H758" s="1060">
        <f>CEILING(G758,'Parametros Generales'!$C$8)</f>
        <v>2200</v>
      </c>
      <c r="I758" s="1085" t="s">
        <v>485</v>
      </c>
      <c r="J758" s="1084">
        <v>2200</v>
      </c>
      <c r="K758" s="1072" t="str">
        <f t="shared" si="56"/>
        <v>Ok</v>
      </c>
      <c r="L758" s="1077">
        <f t="shared" si="57"/>
        <v>0</v>
      </c>
      <c r="M758" s="1089">
        <f>+H758/'Parametros Generales'!$C$8</f>
        <v>88</v>
      </c>
      <c r="N758" s="1096"/>
      <c r="O758" s="1096"/>
      <c r="P758" s="1096"/>
      <c r="Q758" s="1096"/>
      <c r="R758" s="1096">
        <f>+(M758/'Parametros Generales'!$C$9)</f>
        <v>22</v>
      </c>
      <c r="S758" s="393"/>
      <c r="T758" s="393"/>
      <c r="U758" s="393"/>
      <c r="V758" s="1086"/>
      <c r="W758" s="380">
        <f>+R758*'Componentes T.H.'!$Q$9*'Parametros Generales'!C6</f>
        <v>110407155.56199999</v>
      </c>
      <c r="X758" s="380">
        <f>(+VLOOKUP(C758,'Transporte y Viaticos'!$B$87:$L$120,2,0)*'Parametros Generales'!$C$7*R758)*(2/3)</f>
        <v>16959821.156314768</v>
      </c>
      <c r="Y758" s="1087"/>
      <c r="Z758" s="1087"/>
      <c r="AA758" s="1087"/>
      <c r="AB758" s="1087">
        <f>+M758*'Parametros Generales'!$C$6*'Parametros Generales'!$J$9</f>
        <v>42848000.000000007</v>
      </c>
      <c r="AC758" s="1087">
        <f>+H758*'Parametros Generales'!$J$10*'Parametros Generales'!$C$6*'Parametros Generales'!$C$11</f>
        <v>162123486.4414179</v>
      </c>
      <c r="AD758" s="1087"/>
      <c r="AE758" s="1087"/>
      <c r="AF758" s="1087"/>
      <c r="AG758" s="1087"/>
      <c r="AH758" s="1087"/>
      <c r="AI758" s="1087"/>
      <c r="AJ758" s="1087"/>
      <c r="AK758" s="436"/>
      <c r="AL758" s="822"/>
    </row>
    <row r="759" spans="1:38" s="392" customFormat="1" collapsed="1">
      <c r="A759" s="1151">
        <v>18</v>
      </c>
      <c r="B759" s="824">
        <v>52</v>
      </c>
      <c r="C759" s="385" t="s">
        <v>484</v>
      </c>
      <c r="D759" s="1093"/>
      <c r="E759" s="1114" t="s">
        <v>2411</v>
      </c>
      <c r="F759" s="1105">
        <f>+SUM(F760:F837)</f>
        <v>63</v>
      </c>
      <c r="G759" s="388">
        <f>+SUM(G760:G837)</f>
        <v>14058</v>
      </c>
      <c r="H759" s="1063">
        <f>+SUM(H760:H837)</f>
        <v>14200</v>
      </c>
      <c r="I759" s="1057" t="s">
        <v>2411</v>
      </c>
      <c r="J759" s="1068">
        <f>+SUM(J760:J837)</f>
        <v>14200</v>
      </c>
      <c r="K759" s="1073" t="str">
        <f t="shared" si="56"/>
        <v>Ok</v>
      </c>
      <c r="L759" s="1077">
        <f t="shared" si="57"/>
        <v>0</v>
      </c>
      <c r="M759" s="512">
        <f>+SUM(M760:M837)</f>
        <v>568</v>
      </c>
      <c r="N759" s="1073">
        <f>+VLOOKUP(H759,'Parametros Generales'!$B$14:$D$17,3,TRUE)</f>
        <v>1</v>
      </c>
      <c r="O759" s="1073">
        <f>+VLOOKUP(H759,'Parametros Generales'!$B$14:$D$17,3,TRUE)</f>
        <v>1</v>
      </c>
      <c r="P759" s="1073">
        <f>+VLOOKUP(H759,'Parametros Generales'!$B$14:$D$17,3,TRUE)</f>
        <v>1</v>
      </c>
      <c r="Q759" s="1073">
        <f>+R759/'Parametros Generales'!$C$10</f>
        <v>17.75</v>
      </c>
      <c r="R759" s="512">
        <f>+SUM(R760:R837)</f>
        <v>142</v>
      </c>
      <c r="S759" s="390">
        <f>+VLOOKUP(S$1,'Componentes T.H.'!$B$4:$R$22,'Componentes T.H.'!$Q$1,0)*'Parametros Generales'!$C$6*'Cost x Depart'!N759</f>
        <v>14656764.137666669</v>
      </c>
      <c r="T759" s="390">
        <f>+VLOOKUP(T$1,'Componentes T.H.'!$B$4:$R$22,'Componentes T.H.'!$Q$1,0)*'Parametros Generales'!$C$6*'Cost x Depart'!O759</f>
        <v>11043815.659</v>
      </c>
      <c r="U759" s="390">
        <f>+VLOOKUP(U$1,'Componentes T.H.'!$B$4:$R$22,'Componentes T.H.'!$Q$1,0)*'Parametros Generales'!$C$6*'Cost x Depart'!P759</f>
        <v>4890432</v>
      </c>
      <c r="V759" s="389">
        <f>+VLOOKUP(V$1,'Componentes T.H.'!$B$4:$R$22,'Componentes T.H.'!$Q$1,0)*'Parametros Generales'!$C$6*'Cost x Depart'!Q759</f>
        <v>177341093.73441666</v>
      </c>
      <c r="W759" s="512">
        <f>+SUM(W760:W837)</f>
        <v>712628004.08199966</v>
      </c>
      <c r="X759" s="512">
        <f>+SUM(X760:X837)</f>
        <v>109467936.5543952</v>
      </c>
      <c r="Y759" s="391">
        <f>+VLOOKUP(C760,'Transporte y Viaticos'!$B$87:$F$120,2,0)*((O759/'Parametros Generales'!$J$14)+(Q759/'Parametros Generales'!$J$15)+(R759/'Parametros Generales'!$J$16))*'Parametros Generales'!$C$6</f>
        <v>5189127.0981110809</v>
      </c>
      <c r="Z759" s="391">
        <f>+(N759+O759+Q759)*'Parametros Generales'!$C$6*'Parametros Generales'!$J$7</f>
        <v>3883245</v>
      </c>
      <c r="AA759" s="391">
        <f>+SUM(N759:R759)*'Parametros Generales'!$C$6*'Parametros Generales'!$J$8</f>
        <v>29213625</v>
      </c>
      <c r="AB759" s="512">
        <f>+SUM(AB760:AB837)</f>
        <v>276564363.63636357</v>
      </c>
      <c r="AC759" s="512">
        <f>+SUM(AC760:AC837)</f>
        <v>1046433412.4855142</v>
      </c>
      <c r="AD759" s="391">
        <f>+'Parametros Generales'!$J$11*SUM(N759:R759)</f>
        <v>5474910</v>
      </c>
      <c r="AE759" s="436">
        <f>+SUM(S759:AD759)</f>
        <v>2396786729.3874669</v>
      </c>
      <c r="AF759" s="391">
        <f>+AE759*(SUM('Res de Costos Pais'!G117:G117))</f>
        <v>164179890.96304148</v>
      </c>
      <c r="AG759" s="391">
        <f>+AE759+AF759</f>
        <v>2560966620.3505082</v>
      </c>
      <c r="AH759" s="391">
        <f>+AG759*SUM('Res de Costos Pais'!$G$123:$G$124)</f>
        <v>24738937.552585911</v>
      </c>
      <c r="AI759" s="391">
        <f>+(AG759+AH759)*'Res de Costos Pais'!$G$136</f>
        <v>6981405.0063383551</v>
      </c>
      <c r="AJ759" s="391">
        <f>+(AG759+AH759+AI759)*'Res de Costos Pais'!$G$140</f>
        <v>10370747.85163773</v>
      </c>
      <c r="AK759" s="391">
        <f>+AG759+AH759+AI759+AJ759</f>
        <v>2603057710.7610703</v>
      </c>
      <c r="AL759" s="820">
        <f>IF(ISERROR((+(AK759/H759)/'Parametros Generales'!$C$6)),0,(+(AK759/H759)/'Parametros Generales'!$C$6))</f>
        <v>36662.784658606623</v>
      </c>
    </row>
    <row r="760" spans="1:38" s="33" customFormat="1" hidden="1" outlineLevel="1">
      <c r="A760" s="1150"/>
      <c r="B760" s="821">
        <v>52</v>
      </c>
      <c r="C760" s="371" t="s">
        <v>484</v>
      </c>
      <c r="D760" s="31">
        <f>+VLOOKUP(E760,Codigos!$A$1:$B$1123,2,0)</f>
        <v>52019</v>
      </c>
      <c r="E760" s="1121" t="s">
        <v>2057</v>
      </c>
      <c r="F760" s="1103">
        <v>1</v>
      </c>
      <c r="G760" s="30">
        <v>198</v>
      </c>
      <c r="H760" s="1061">
        <f>CEILING(G760,'Parametros Generales'!$C$8)</f>
        <v>200</v>
      </c>
      <c r="I760" s="1085" t="s">
        <v>486</v>
      </c>
      <c r="J760" s="1058">
        <v>200</v>
      </c>
      <c r="K760" s="1070" t="str">
        <f t="shared" si="56"/>
        <v>Ok</v>
      </c>
      <c r="L760" s="1077">
        <f t="shared" si="57"/>
        <v>0</v>
      </c>
      <c r="M760" s="1090">
        <f>+H760/'Parametros Generales'!$C$8</f>
        <v>8</v>
      </c>
      <c r="N760" s="1097"/>
      <c r="O760" s="1097"/>
      <c r="P760" s="1097"/>
      <c r="Q760" s="1097"/>
      <c r="R760" s="1097">
        <f>+(M760/'Parametros Generales'!$C$9)</f>
        <v>2</v>
      </c>
      <c r="S760" s="390"/>
      <c r="T760" s="390"/>
      <c r="U760" s="390"/>
      <c r="V760" s="389"/>
      <c r="W760" s="32">
        <f>+R760*'Componentes T.H.'!$Q$9*'Parametros Generales'!$C$6</f>
        <v>10037014.142000001</v>
      </c>
      <c r="X760" s="32">
        <f>(+VLOOKUP(C760,'Transporte y Viaticos'!$B$87:$L$120,2,0)*'Parametros Generales'!$C$7*R760)*(2/3)</f>
        <v>1541801.9233013424</v>
      </c>
      <c r="Y760" s="417"/>
      <c r="Z760" s="417"/>
      <c r="AA760" s="417"/>
      <c r="AB760" s="417">
        <f>+M760*'Parametros Generales'!$C$6*'Parametros Generales'!$J$9</f>
        <v>3895272.7272727285</v>
      </c>
      <c r="AC760" s="417">
        <f>+H760*'Parametros Generales'!$J$10*'Parametros Generales'!$C$6*'Parametros Generales'!$C$11</f>
        <v>14738498.767401624</v>
      </c>
      <c r="AD760" s="417"/>
      <c r="AE760" s="417"/>
      <c r="AF760" s="417"/>
      <c r="AG760" s="417"/>
      <c r="AH760" s="417"/>
      <c r="AI760" s="417"/>
      <c r="AJ760" s="417"/>
      <c r="AK760" s="436"/>
      <c r="AL760" s="822"/>
    </row>
    <row r="761" spans="1:38" s="33" customFormat="1" hidden="1" outlineLevel="1">
      <c r="A761" s="1150"/>
      <c r="B761" s="821">
        <v>52</v>
      </c>
      <c r="C761" s="371" t="s">
        <v>484</v>
      </c>
      <c r="D761" s="31">
        <f>+VLOOKUP(E761,Codigos!$A$1:$B$1123,2,0)</f>
        <v>52022</v>
      </c>
      <c r="E761" s="1121" t="s">
        <v>2058</v>
      </c>
      <c r="F761" s="1103">
        <v>1</v>
      </c>
      <c r="G761" s="30">
        <v>198</v>
      </c>
      <c r="H761" s="1061">
        <f>CEILING(G761,'Parametros Generales'!$C$8)</f>
        <v>200</v>
      </c>
      <c r="I761" s="1085" t="s">
        <v>487</v>
      </c>
      <c r="J761" s="1058">
        <v>200</v>
      </c>
      <c r="K761" s="1070" t="str">
        <f t="shared" si="56"/>
        <v>Ok</v>
      </c>
      <c r="L761" s="1076">
        <f t="shared" si="57"/>
        <v>0</v>
      </c>
      <c r="M761" s="1090">
        <f>+H761/'Parametros Generales'!$C$8</f>
        <v>8</v>
      </c>
      <c r="N761" s="1097"/>
      <c r="O761" s="1097"/>
      <c r="P761" s="1097"/>
      <c r="Q761" s="1097"/>
      <c r="R761" s="1097">
        <f>+(M761/'Parametros Generales'!$C$9)</f>
        <v>2</v>
      </c>
      <c r="S761" s="390"/>
      <c r="T761" s="390"/>
      <c r="U761" s="390"/>
      <c r="V761" s="389"/>
      <c r="W761" s="32">
        <f>+R761*'Componentes T.H.'!$Q$9*'Parametros Generales'!$C$6</f>
        <v>10037014.142000001</v>
      </c>
      <c r="X761" s="32">
        <f>(+VLOOKUP(C761,'Transporte y Viaticos'!$B$87:$L$120,2,0)*'Parametros Generales'!$C$7*R761)*(2/3)</f>
        <v>1541801.9233013424</v>
      </c>
      <c r="Y761" s="417"/>
      <c r="Z761" s="417"/>
      <c r="AA761" s="417"/>
      <c r="AB761" s="417">
        <f>+M761*'Parametros Generales'!$C$6*'Parametros Generales'!$J$9</f>
        <v>3895272.7272727285</v>
      </c>
      <c r="AC761" s="417">
        <f>+H761*'Parametros Generales'!$J$10*'Parametros Generales'!$C$6*'Parametros Generales'!$C$11</f>
        <v>14738498.767401624</v>
      </c>
      <c r="AD761" s="417"/>
      <c r="AE761" s="417"/>
      <c r="AF761" s="417"/>
      <c r="AG761" s="417"/>
      <c r="AH761" s="417"/>
      <c r="AI761" s="417"/>
      <c r="AJ761" s="417"/>
      <c r="AK761" s="436"/>
      <c r="AL761" s="822"/>
    </row>
    <row r="762" spans="1:38" s="33" customFormat="1" hidden="1" outlineLevel="1">
      <c r="A762" s="1150"/>
      <c r="B762" s="821">
        <v>52</v>
      </c>
      <c r="C762" s="371" t="s">
        <v>484</v>
      </c>
      <c r="D762" s="31">
        <f>+VLOOKUP(E762,Codigos!$A$1:$B$1123,2,0)</f>
        <v>52036</v>
      </c>
      <c r="E762" s="1121" t="s">
        <v>2059</v>
      </c>
      <c r="F762" s="1103">
        <v>1</v>
      </c>
      <c r="G762" s="30">
        <v>198</v>
      </c>
      <c r="H762" s="1061">
        <f>CEILING(G762,'Parametros Generales'!$C$8)</f>
        <v>200</v>
      </c>
      <c r="I762" s="1085" t="s">
        <v>488</v>
      </c>
      <c r="J762" s="1058">
        <v>200</v>
      </c>
      <c r="K762" s="1070" t="str">
        <f t="shared" si="56"/>
        <v>Ok</v>
      </c>
      <c r="L762" s="1077">
        <f t="shared" si="57"/>
        <v>0</v>
      </c>
      <c r="M762" s="1090">
        <f>+H762/'Parametros Generales'!$C$8</f>
        <v>8</v>
      </c>
      <c r="N762" s="1097"/>
      <c r="O762" s="1097"/>
      <c r="P762" s="1097"/>
      <c r="Q762" s="1097"/>
      <c r="R762" s="1097">
        <f>+(M762/'Parametros Generales'!$C$9)</f>
        <v>2</v>
      </c>
      <c r="S762" s="390"/>
      <c r="T762" s="390"/>
      <c r="U762" s="390"/>
      <c r="V762" s="389"/>
      <c r="W762" s="32">
        <f>+R762*'Componentes T.H.'!$Q$9*'Parametros Generales'!$C$6</f>
        <v>10037014.142000001</v>
      </c>
      <c r="X762" s="32">
        <f>(+VLOOKUP(C762,'Transporte y Viaticos'!$B$87:$L$120,2,0)*'Parametros Generales'!$C$7*R762)*(2/3)</f>
        <v>1541801.9233013424</v>
      </c>
      <c r="Y762" s="417"/>
      <c r="Z762" s="417"/>
      <c r="AA762" s="417"/>
      <c r="AB762" s="417">
        <f>+M762*'Parametros Generales'!$C$6*'Parametros Generales'!$J$9</f>
        <v>3895272.7272727285</v>
      </c>
      <c r="AC762" s="417">
        <f>+H762*'Parametros Generales'!$J$10*'Parametros Generales'!$C$6*'Parametros Generales'!$C$11</f>
        <v>14738498.767401624</v>
      </c>
      <c r="AD762" s="417"/>
      <c r="AE762" s="417"/>
      <c r="AF762" s="417"/>
      <c r="AG762" s="417"/>
      <c r="AH762" s="417"/>
      <c r="AI762" s="417"/>
      <c r="AJ762" s="417"/>
      <c r="AK762" s="436"/>
      <c r="AL762" s="822"/>
    </row>
    <row r="763" spans="1:38" s="33" customFormat="1" hidden="1" outlineLevel="1">
      <c r="A763" s="1150"/>
      <c r="B763" s="821">
        <v>52</v>
      </c>
      <c r="C763" s="371" t="s">
        <v>484</v>
      </c>
      <c r="D763" s="31">
        <f>+VLOOKUP(E763,Codigos!$A$1:$B$1123,2,0)</f>
        <v>52051</v>
      </c>
      <c r="E763" s="1121" t="s">
        <v>2060</v>
      </c>
      <c r="F763" s="1103">
        <v>1</v>
      </c>
      <c r="G763" s="30">
        <v>198</v>
      </c>
      <c r="H763" s="1061">
        <f>CEILING(G763,'Parametros Generales'!$C$8)</f>
        <v>200</v>
      </c>
      <c r="I763" s="1085" t="s">
        <v>489</v>
      </c>
      <c r="J763" s="1058">
        <v>200</v>
      </c>
      <c r="K763" s="1070" t="str">
        <f t="shared" si="56"/>
        <v>Ok</v>
      </c>
      <c r="L763" s="1077">
        <f t="shared" si="57"/>
        <v>0</v>
      </c>
      <c r="M763" s="1090">
        <f>+H763/'Parametros Generales'!$C$8</f>
        <v>8</v>
      </c>
      <c r="N763" s="1097"/>
      <c r="O763" s="1097"/>
      <c r="P763" s="1097"/>
      <c r="Q763" s="1097"/>
      <c r="R763" s="1097">
        <f>+(M763/'Parametros Generales'!$C$9)</f>
        <v>2</v>
      </c>
      <c r="S763" s="390"/>
      <c r="T763" s="390"/>
      <c r="U763" s="390"/>
      <c r="V763" s="389"/>
      <c r="W763" s="32">
        <f>+R763*'Componentes T.H.'!$Q$9*'Parametros Generales'!$C$6</f>
        <v>10037014.142000001</v>
      </c>
      <c r="X763" s="32">
        <f>(+VLOOKUP(C763,'Transporte y Viaticos'!$B$87:$L$120,2,0)*'Parametros Generales'!$C$7*R763)*(2/3)</f>
        <v>1541801.9233013424</v>
      </c>
      <c r="Y763" s="417"/>
      <c r="Z763" s="417"/>
      <c r="AA763" s="417"/>
      <c r="AB763" s="417">
        <f>+M763*'Parametros Generales'!$C$6*'Parametros Generales'!$J$9</f>
        <v>3895272.7272727285</v>
      </c>
      <c r="AC763" s="417">
        <f>+H763*'Parametros Generales'!$J$10*'Parametros Generales'!$C$6*'Parametros Generales'!$C$11</f>
        <v>14738498.767401624</v>
      </c>
      <c r="AD763" s="417"/>
      <c r="AE763" s="417"/>
      <c r="AF763" s="417"/>
      <c r="AG763" s="417"/>
      <c r="AH763" s="417"/>
      <c r="AI763" s="417"/>
      <c r="AJ763" s="417"/>
      <c r="AK763" s="436"/>
      <c r="AL763" s="822"/>
    </row>
    <row r="764" spans="1:38" s="33" customFormat="1" hidden="1" outlineLevel="1">
      <c r="A764" s="1150"/>
      <c r="B764" s="821">
        <v>52</v>
      </c>
      <c r="C764" s="371" t="s">
        <v>484</v>
      </c>
      <c r="D764" s="31">
        <f>+VLOOKUP(E764,Codigos!$A$1:$B$1123,2,0)</f>
        <v>52079</v>
      </c>
      <c r="E764" s="1121" t="s">
        <v>2061</v>
      </c>
      <c r="F764" s="1103">
        <v>1</v>
      </c>
      <c r="G764" s="30">
        <v>198</v>
      </c>
      <c r="H764" s="1061">
        <f>CEILING(G764,'Parametros Generales'!$C$8)</f>
        <v>200</v>
      </c>
      <c r="I764" s="1085" t="s">
        <v>490</v>
      </c>
      <c r="J764" s="1058">
        <v>200</v>
      </c>
      <c r="K764" s="1070" t="str">
        <f t="shared" si="56"/>
        <v>Ok</v>
      </c>
      <c r="L764" s="1077">
        <f t="shared" si="57"/>
        <v>0</v>
      </c>
      <c r="M764" s="1090">
        <f>+H764/'Parametros Generales'!$C$8</f>
        <v>8</v>
      </c>
      <c r="N764" s="1097"/>
      <c r="O764" s="1097"/>
      <c r="P764" s="1097"/>
      <c r="Q764" s="1097"/>
      <c r="R764" s="1097">
        <f>+(M764/'Parametros Generales'!$C$9)</f>
        <v>2</v>
      </c>
      <c r="S764" s="390"/>
      <c r="T764" s="390"/>
      <c r="U764" s="390"/>
      <c r="V764" s="389"/>
      <c r="W764" s="32">
        <f>+R764*'Componentes T.H.'!$Q$9*'Parametros Generales'!$C$6</f>
        <v>10037014.142000001</v>
      </c>
      <c r="X764" s="32">
        <f>(+VLOOKUP(C764,'Transporte y Viaticos'!$B$87:$L$120,2,0)*'Parametros Generales'!$C$7*R764)*(2/3)</f>
        <v>1541801.9233013424</v>
      </c>
      <c r="Y764" s="417"/>
      <c r="Z764" s="417"/>
      <c r="AA764" s="417"/>
      <c r="AB764" s="417">
        <f>+M764*'Parametros Generales'!$C$6*'Parametros Generales'!$J$9</f>
        <v>3895272.7272727285</v>
      </c>
      <c r="AC764" s="417">
        <f>+H764*'Parametros Generales'!$J$10*'Parametros Generales'!$C$6*'Parametros Generales'!$C$11</f>
        <v>14738498.767401624</v>
      </c>
      <c r="AD764" s="417"/>
      <c r="AE764" s="417"/>
      <c r="AF764" s="417"/>
      <c r="AG764" s="417"/>
      <c r="AH764" s="417"/>
      <c r="AI764" s="417"/>
      <c r="AJ764" s="417"/>
      <c r="AK764" s="436"/>
      <c r="AL764" s="822"/>
    </row>
    <row r="765" spans="1:38" s="33" customFormat="1" hidden="1" outlineLevel="1">
      <c r="A765" s="1150"/>
      <c r="B765" s="821">
        <v>52</v>
      </c>
      <c r="C765" s="371" t="s">
        <v>484</v>
      </c>
      <c r="D765" s="31">
        <f>+VLOOKUP(E765,Codigos!$A$1:$B$1123,2,0)</f>
        <v>52083</v>
      </c>
      <c r="E765" s="1121" t="s">
        <v>2062</v>
      </c>
      <c r="F765" s="1103">
        <v>1</v>
      </c>
      <c r="G765" s="30">
        <v>198</v>
      </c>
      <c r="H765" s="1061">
        <f>CEILING(G765,'Parametros Generales'!$C$8)</f>
        <v>200</v>
      </c>
      <c r="I765" s="1085" t="s">
        <v>491</v>
      </c>
      <c r="J765" s="1058">
        <v>200</v>
      </c>
      <c r="K765" s="1070" t="str">
        <f t="shared" si="56"/>
        <v>Ok</v>
      </c>
      <c r="L765" s="1077">
        <f t="shared" si="57"/>
        <v>0</v>
      </c>
      <c r="M765" s="1090">
        <f>+H765/'Parametros Generales'!$C$8</f>
        <v>8</v>
      </c>
      <c r="N765" s="1097"/>
      <c r="O765" s="1097"/>
      <c r="P765" s="1097"/>
      <c r="Q765" s="1097"/>
      <c r="R765" s="1097">
        <f>+(M765/'Parametros Generales'!$C$9)</f>
        <v>2</v>
      </c>
      <c r="S765" s="390"/>
      <c r="T765" s="390"/>
      <c r="U765" s="390"/>
      <c r="V765" s="389"/>
      <c r="W765" s="32">
        <f>+R765*'Componentes T.H.'!$Q$9*'Parametros Generales'!$C$6</f>
        <v>10037014.142000001</v>
      </c>
      <c r="X765" s="32">
        <f>(+VLOOKUP(C765,'Transporte y Viaticos'!$B$87:$L$120,2,0)*'Parametros Generales'!$C$7*R765)*(2/3)</f>
        <v>1541801.9233013424</v>
      </c>
      <c r="Y765" s="417"/>
      <c r="Z765" s="417"/>
      <c r="AA765" s="417"/>
      <c r="AB765" s="417">
        <f>+M765*'Parametros Generales'!$C$6*'Parametros Generales'!$J$9</f>
        <v>3895272.7272727285</v>
      </c>
      <c r="AC765" s="417">
        <f>+H765*'Parametros Generales'!$J$10*'Parametros Generales'!$C$6*'Parametros Generales'!$C$11</f>
        <v>14738498.767401624</v>
      </c>
      <c r="AD765" s="417"/>
      <c r="AE765" s="417"/>
      <c r="AF765" s="417"/>
      <c r="AG765" s="417"/>
      <c r="AH765" s="417"/>
      <c r="AI765" s="417"/>
      <c r="AJ765" s="417"/>
      <c r="AK765" s="436"/>
      <c r="AL765" s="822"/>
    </row>
    <row r="766" spans="1:38" s="33" customFormat="1" hidden="1" outlineLevel="1">
      <c r="A766" s="1150"/>
      <c r="B766" s="821">
        <v>52</v>
      </c>
      <c r="C766" s="371" t="s">
        <v>484</v>
      </c>
      <c r="D766" s="31">
        <f>+VLOOKUP(E766,Codigos!$A$1:$B$1123,2,0)</f>
        <v>52110</v>
      </c>
      <c r="E766" s="1121" t="s">
        <v>2063</v>
      </c>
      <c r="F766" s="1103">
        <v>1</v>
      </c>
      <c r="G766" s="30">
        <v>198</v>
      </c>
      <c r="H766" s="1061">
        <f>CEILING(G766,'Parametros Generales'!$C$8)</f>
        <v>200</v>
      </c>
      <c r="I766" s="1085" t="s">
        <v>492</v>
      </c>
      <c r="J766" s="1058">
        <v>200</v>
      </c>
      <c r="K766" s="1070" t="str">
        <f t="shared" si="56"/>
        <v>Ok</v>
      </c>
      <c r="L766" s="1077">
        <f t="shared" si="57"/>
        <v>0</v>
      </c>
      <c r="M766" s="1090">
        <f>+H766/'Parametros Generales'!$C$8</f>
        <v>8</v>
      </c>
      <c r="N766" s="1097"/>
      <c r="O766" s="1097"/>
      <c r="P766" s="1097"/>
      <c r="Q766" s="1097"/>
      <c r="R766" s="1097">
        <f>+(M766/'Parametros Generales'!$C$9)</f>
        <v>2</v>
      </c>
      <c r="S766" s="390"/>
      <c r="T766" s="390"/>
      <c r="U766" s="390"/>
      <c r="V766" s="389"/>
      <c r="W766" s="32">
        <f>+R766*'Componentes T.H.'!$Q$9*'Parametros Generales'!$C$6</f>
        <v>10037014.142000001</v>
      </c>
      <c r="X766" s="32">
        <f>(+VLOOKUP(C766,'Transporte y Viaticos'!$B$87:$L$120,2,0)*'Parametros Generales'!$C$7*R766)*(2/3)</f>
        <v>1541801.9233013424</v>
      </c>
      <c r="Y766" s="417"/>
      <c r="Z766" s="417"/>
      <c r="AA766" s="417"/>
      <c r="AB766" s="417">
        <f>+M766*'Parametros Generales'!$C$6*'Parametros Generales'!$J$9</f>
        <v>3895272.7272727285</v>
      </c>
      <c r="AC766" s="417">
        <f>+H766*'Parametros Generales'!$J$10*'Parametros Generales'!$C$6*'Parametros Generales'!$C$11</f>
        <v>14738498.767401624</v>
      </c>
      <c r="AD766" s="417"/>
      <c r="AE766" s="417"/>
      <c r="AF766" s="417"/>
      <c r="AG766" s="417"/>
      <c r="AH766" s="417"/>
      <c r="AI766" s="417"/>
      <c r="AJ766" s="417"/>
      <c r="AK766" s="436"/>
      <c r="AL766" s="822"/>
    </row>
    <row r="767" spans="1:38" s="33" customFormat="1" hidden="1" outlineLevel="1">
      <c r="A767" s="1150"/>
      <c r="B767" s="821">
        <v>52</v>
      </c>
      <c r="C767" s="371" t="s">
        <v>484</v>
      </c>
      <c r="D767" s="31">
        <f>+VLOOKUP(E767,Codigos!$A$1:$B$1123,2,0)</f>
        <v>52240</v>
      </c>
      <c r="E767" s="1121" t="s">
        <v>2064</v>
      </c>
      <c r="F767" s="1103">
        <v>1</v>
      </c>
      <c r="G767" s="30">
        <v>198</v>
      </c>
      <c r="H767" s="1061">
        <f>CEILING(G767,'Parametros Generales'!$C$8)</f>
        <v>200</v>
      </c>
      <c r="I767" s="1085" t="s">
        <v>493</v>
      </c>
      <c r="J767" s="1058">
        <v>200</v>
      </c>
      <c r="K767" s="1070" t="str">
        <f t="shared" si="56"/>
        <v>Ok</v>
      </c>
      <c r="L767" s="1077">
        <f t="shared" si="57"/>
        <v>0</v>
      </c>
      <c r="M767" s="1090">
        <f>+H767/'Parametros Generales'!$C$8</f>
        <v>8</v>
      </c>
      <c r="N767" s="1097"/>
      <c r="O767" s="1097"/>
      <c r="P767" s="1097"/>
      <c r="Q767" s="1097"/>
      <c r="R767" s="1097">
        <f>+(M767/'Parametros Generales'!$C$9)</f>
        <v>2</v>
      </c>
      <c r="S767" s="390"/>
      <c r="T767" s="390"/>
      <c r="U767" s="390"/>
      <c r="V767" s="389"/>
      <c r="W767" s="32">
        <f>+R767*'Componentes T.H.'!$Q$9*'Parametros Generales'!$C$6</f>
        <v>10037014.142000001</v>
      </c>
      <c r="X767" s="32">
        <f>(+VLOOKUP(C767,'Transporte y Viaticos'!$B$87:$L$120,2,0)*'Parametros Generales'!$C$7*R767)*(2/3)</f>
        <v>1541801.9233013424</v>
      </c>
      <c r="Y767" s="417"/>
      <c r="Z767" s="417"/>
      <c r="AA767" s="417"/>
      <c r="AB767" s="417">
        <f>+M767*'Parametros Generales'!$C$6*'Parametros Generales'!$J$9</f>
        <v>3895272.7272727285</v>
      </c>
      <c r="AC767" s="417">
        <f>+H767*'Parametros Generales'!$J$10*'Parametros Generales'!$C$6*'Parametros Generales'!$C$11</f>
        <v>14738498.767401624</v>
      </c>
      <c r="AD767" s="417"/>
      <c r="AE767" s="417"/>
      <c r="AF767" s="417"/>
      <c r="AG767" s="417"/>
      <c r="AH767" s="417"/>
      <c r="AI767" s="417"/>
      <c r="AJ767" s="417"/>
      <c r="AK767" s="436"/>
      <c r="AL767" s="822"/>
    </row>
    <row r="768" spans="1:38" s="33" customFormat="1" hidden="1" outlineLevel="1">
      <c r="A768" s="1150"/>
      <c r="B768" s="821">
        <v>52</v>
      </c>
      <c r="C768" s="371" t="s">
        <v>484</v>
      </c>
      <c r="D768" s="31">
        <f>+VLOOKUP(E768,Codigos!$A$1:$B$1123,2,0)</f>
        <v>52203</v>
      </c>
      <c r="E768" s="1121" t="s">
        <v>2065</v>
      </c>
      <c r="F768" s="1103">
        <v>1</v>
      </c>
      <c r="G768" s="30">
        <v>198</v>
      </c>
      <c r="H768" s="1061">
        <f>CEILING(G768,'Parametros Generales'!$C$8)</f>
        <v>200</v>
      </c>
      <c r="I768" s="1085" t="s">
        <v>494</v>
      </c>
      <c r="J768" s="1058">
        <v>200</v>
      </c>
      <c r="K768" s="1070" t="str">
        <f t="shared" si="56"/>
        <v>Ok</v>
      </c>
      <c r="L768" s="1077">
        <f t="shared" si="57"/>
        <v>0</v>
      </c>
      <c r="M768" s="1090">
        <f>+H768/'Parametros Generales'!$C$8</f>
        <v>8</v>
      </c>
      <c r="N768" s="1097"/>
      <c r="O768" s="1097"/>
      <c r="P768" s="1097"/>
      <c r="Q768" s="1097"/>
      <c r="R768" s="1097">
        <f>+(M768/'Parametros Generales'!$C$9)</f>
        <v>2</v>
      </c>
      <c r="S768" s="390"/>
      <c r="T768" s="390"/>
      <c r="U768" s="390"/>
      <c r="V768" s="389"/>
      <c r="W768" s="32">
        <f>+R768*'Componentes T.H.'!$Q$9*'Parametros Generales'!$C$6</f>
        <v>10037014.142000001</v>
      </c>
      <c r="X768" s="32">
        <f>(+VLOOKUP(C768,'Transporte y Viaticos'!$B$87:$L$120,2,0)*'Parametros Generales'!$C$7*R768)*(2/3)</f>
        <v>1541801.9233013424</v>
      </c>
      <c r="Y768" s="417"/>
      <c r="Z768" s="417"/>
      <c r="AA768" s="417"/>
      <c r="AB768" s="417">
        <f>+M768*'Parametros Generales'!$C$6*'Parametros Generales'!$J$9</f>
        <v>3895272.7272727285</v>
      </c>
      <c r="AC768" s="417">
        <f>+H768*'Parametros Generales'!$J$10*'Parametros Generales'!$C$6*'Parametros Generales'!$C$11</f>
        <v>14738498.767401624</v>
      </c>
      <c r="AD768" s="417"/>
      <c r="AE768" s="417"/>
      <c r="AF768" s="417"/>
      <c r="AG768" s="417"/>
      <c r="AH768" s="417"/>
      <c r="AI768" s="417"/>
      <c r="AJ768" s="417"/>
      <c r="AK768" s="436"/>
      <c r="AL768" s="822"/>
    </row>
    <row r="769" spans="1:38" s="33" customFormat="1" hidden="1" outlineLevel="1">
      <c r="A769" s="1150"/>
      <c r="B769" s="821">
        <v>52</v>
      </c>
      <c r="C769" s="371" t="s">
        <v>484</v>
      </c>
      <c r="D769" s="31">
        <f>+VLOOKUP(E769,Codigos!$A$1:$B$1123,2,0)</f>
        <v>52207</v>
      </c>
      <c r="E769" s="1121" t="s">
        <v>2066</v>
      </c>
      <c r="F769" s="1103">
        <v>1</v>
      </c>
      <c r="G769" s="30">
        <v>198</v>
      </c>
      <c r="H769" s="1061">
        <f>CEILING(G769,'Parametros Generales'!$C$8)</f>
        <v>200</v>
      </c>
      <c r="I769" s="1085" t="s">
        <v>495</v>
      </c>
      <c r="J769" s="1058">
        <v>200</v>
      </c>
      <c r="K769" s="1070" t="str">
        <f t="shared" si="56"/>
        <v>Ok</v>
      </c>
      <c r="L769" s="1077">
        <f t="shared" si="57"/>
        <v>0</v>
      </c>
      <c r="M769" s="1090">
        <f>+H769/'Parametros Generales'!$C$8</f>
        <v>8</v>
      </c>
      <c r="N769" s="1097"/>
      <c r="O769" s="1097"/>
      <c r="P769" s="1097"/>
      <c r="Q769" s="1097"/>
      <c r="R769" s="1097">
        <f>+(M769/'Parametros Generales'!$C$9)</f>
        <v>2</v>
      </c>
      <c r="S769" s="390"/>
      <c r="T769" s="390"/>
      <c r="U769" s="390"/>
      <c r="V769" s="389"/>
      <c r="W769" s="32">
        <f>+R769*'Componentes T.H.'!$Q$9*'Parametros Generales'!$C$6</f>
        <v>10037014.142000001</v>
      </c>
      <c r="X769" s="32">
        <f>(+VLOOKUP(C769,'Transporte y Viaticos'!$B$87:$L$120,2,0)*'Parametros Generales'!$C$7*R769)*(2/3)</f>
        <v>1541801.9233013424</v>
      </c>
      <c r="Y769" s="417"/>
      <c r="Z769" s="417"/>
      <c r="AA769" s="417"/>
      <c r="AB769" s="417">
        <f>+M769*'Parametros Generales'!$C$6*'Parametros Generales'!$J$9</f>
        <v>3895272.7272727285</v>
      </c>
      <c r="AC769" s="417">
        <f>+H769*'Parametros Generales'!$J$10*'Parametros Generales'!$C$6*'Parametros Generales'!$C$11</f>
        <v>14738498.767401624</v>
      </c>
      <c r="AD769" s="417"/>
      <c r="AE769" s="417"/>
      <c r="AF769" s="417"/>
      <c r="AG769" s="417"/>
      <c r="AH769" s="417"/>
      <c r="AI769" s="417"/>
      <c r="AJ769" s="417"/>
      <c r="AK769" s="436"/>
      <c r="AL769" s="822"/>
    </row>
    <row r="770" spans="1:38" s="33" customFormat="1" hidden="1" outlineLevel="1">
      <c r="A770" s="1150"/>
      <c r="B770" s="821">
        <v>52</v>
      </c>
      <c r="C770" s="371" t="s">
        <v>484</v>
      </c>
      <c r="D770" s="31">
        <f>+VLOOKUP(E770,Codigos!$A$1:$B$1123,2,0)</f>
        <v>52210</v>
      </c>
      <c r="E770" s="1121" t="s">
        <v>2067</v>
      </c>
      <c r="F770" s="1103">
        <v>1</v>
      </c>
      <c r="G770" s="30">
        <v>198</v>
      </c>
      <c r="H770" s="1061">
        <f>CEILING(G770,'Parametros Generales'!$C$8)</f>
        <v>200</v>
      </c>
      <c r="I770" s="1085" t="s">
        <v>496</v>
      </c>
      <c r="J770" s="1058">
        <v>200</v>
      </c>
      <c r="K770" s="1070" t="str">
        <f t="shared" si="56"/>
        <v>Ok</v>
      </c>
      <c r="L770" s="1077">
        <f t="shared" si="57"/>
        <v>0</v>
      </c>
      <c r="M770" s="1090">
        <f>+H770/'Parametros Generales'!$C$8</f>
        <v>8</v>
      </c>
      <c r="N770" s="1097"/>
      <c r="O770" s="1097"/>
      <c r="P770" s="1097"/>
      <c r="Q770" s="1097"/>
      <c r="R770" s="1097">
        <f>+(M770/'Parametros Generales'!$C$9)</f>
        <v>2</v>
      </c>
      <c r="S770" s="390"/>
      <c r="T770" s="390"/>
      <c r="U770" s="390"/>
      <c r="V770" s="389"/>
      <c r="W770" s="32">
        <f>+R770*'Componentes T.H.'!$Q$9*'Parametros Generales'!$C$6</f>
        <v>10037014.142000001</v>
      </c>
      <c r="X770" s="32">
        <f>(+VLOOKUP(C770,'Transporte y Viaticos'!$B$87:$L$120,2,0)*'Parametros Generales'!$C$7*R770)*(2/3)</f>
        <v>1541801.9233013424</v>
      </c>
      <c r="Y770" s="417"/>
      <c r="Z770" s="417"/>
      <c r="AA770" s="417"/>
      <c r="AB770" s="417">
        <f>+M770*'Parametros Generales'!$C$6*'Parametros Generales'!$J$9</f>
        <v>3895272.7272727285</v>
      </c>
      <c r="AC770" s="417">
        <f>+H770*'Parametros Generales'!$J$10*'Parametros Generales'!$C$6*'Parametros Generales'!$C$11</f>
        <v>14738498.767401624</v>
      </c>
      <c r="AD770" s="417"/>
      <c r="AE770" s="417"/>
      <c r="AF770" s="417"/>
      <c r="AG770" s="417"/>
      <c r="AH770" s="417"/>
      <c r="AI770" s="417"/>
      <c r="AJ770" s="417"/>
      <c r="AK770" s="436"/>
      <c r="AL770" s="822"/>
    </row>
    <row r="771" spans="1:38" s="33" customFormat="1" hidden="1" outlineLevel="1">
      <c r="A771" s="1150"/>
      <c r="B771" s="821">
        <v>52</v>
      </c>
      <c r="C771" s="371" t="s">
        <v>484</v>
      </c>
      <c r="D771" s="31">
        <f>+VLOOKUP(E771,Codigos!$A$1:$B$1123,2,0)</f>
        <v>52215</v>
      </c>
      <c r="E771" s="1121" t="s">
        <v>2068</v>
      </c>
      <c r="F771" s="1103">
        <v>1</v>
      </c>
      <c r="G771" s="30">
        <v>198</v>
      </c>
      <c r="H771" s="1061">
        <f>CEILING(G771,'Parametros Generales'!$C$8)</f>
        <v>200</v>
      </c>
      <c r="I771" s="1085" t="s">
        <v>497</v>
      </c>
      <c r="J771" s="1058">
        <v>200</v>
      </c>
      <c r="K771" s="1070" t="str">
        <f t="shared" ref="K771:K834" si="62">+IF(I771=E771,"Ok","Rev")</f>
        <v>Ok</v>
      </c>
      <c r="L771" s="1077">
        <f t="shared" ref="L771:L834" si="63">+J771-H771</f>
        <v>0</v>
      </c>
      <c r="M771" s="1090">
        <f>+H771/'Parametros Generales'!$C$8</f>
        <v>8</v>
      </c>
      <c r="N771" s="1097"/>
      <c r="O771" s="1097"/>
      <c r="P771" s="1097"/>
      <c r="Q771" s="1097"/>
      <c r="R771" s="1097">
        <f>+(M771/'Parametros Generales'!$C$9)</f>
        <v>2</v>
      </c>
      <c r="S771" s="390"/>
      <c r="T771" s="390"/>
      <c r="U771" s="390"/>
      <c r="V771" s="389"/>
      <c r="W771" s="32">
        <f>+R771*'Componentes T.H.'!$Q$9*'Parametros Generales'!$C$6</f>
        <v>10037014.142000001</v>
      </c>
      <c r="X771" s="32">
        <f>(+VLOOKUP(C771,'Transporte y Viaticos'!$B$87:$L$120,2,0)*'Parametros Generales'!$C$7*R771)*(2/3)</f>
        <v>1541801.9233013424</v>
      </c>
      <c r="Y771" s="417"/>
      <c r="Z771" s="417"/>
      <c r="AA771" s="417"/>
      <c r="AB771" s="417">
        <f>+M771*'Parametros Generales'!$C$6*'Parametros Generales'!$J$9</f>
        <v>3895272.7272727285</v>
      </c>
      <c r="AC771" s="417">
        <f>+H771*'Parametros Generales'!$J$10*'Parametros Generales'!$C$6*'Parametros Generales'!$C$11</f>
        <v>14738498.767401624</v>
      </c>
      <c r="AD771" s="417"/>
      <c r="AE771" s="417"/>
      <c r="AF771" s="417"/>
      <c r="AG771" s="417"/>
      <c r="AH771" s="417"/>
      <c r="AI771" s="417"/>
      <c r="AJ771" s="417"/>
      <c r="AK771" s="436"/>
      <c r="AL771" s="822"/>
    </row>
    <row r="772" spans="1:38" s="33" customFormat="1" hidden="1" outlineLevel="1">
      <c r="A772" s="1150"/>
      <c r="B772" s="821">
        <v>52</v>
      </c>
      <c r="C772" s="371" t="s">
        <v>484</v>
      </c>
      <c r="D772" s="31">
        <f>+VLOOKUP(E772,Codigos!$A$1:$B$1123,2,0)</f>
        <v>52224</v>
      </c>
      <c r="E772" s="1121" t="s">
        <v>2069</v>
      </c>
      <c r="F772" s="1103">
        <v>1</v>
      </c>
      <c r="G772" s="30">
        <v>198</v>
      </c>
      <c r="H772" s="1061">
        <f>CEILING(G772,'Parametros Generales'!$C$8)</f>
        <v>200</v>
      </c>
      <c r="I772" s="1085" t="s">
        <v>498</v>
      </c>
      <c r="J772" s="1058">
        <v>200</v>
      </c>
      <c r="K772" s="1070" t="str">
        <f t="shared" si="62"/>
        <v>Ok</v>
      </c>
      <c r="L772" s="1077">
        <f t="shared" si="63"/>
        <v>0</v>
      </c>
      <c r="M772" s="1090">
        <f>+H772/'Parametros Generales'!$C$8</f>
        <v>8</v>
      </c>
      <c r="N772" s="1097"/>
      <c r="O772" s="1097"/>
      <c r="P772" s="1097"/>
      <c r="Q772" s="1097"/>
      <c r="R772" s="1097">
        <f>+(M772/'Parametros Generales'!$C$9)</f>
        <v>2</v>
      </c>
      <c r="S772" s="390"/>
      <c r="T772" s="390"/>
      <c r="U772" s="390"/>
      <c r="V772" s="389"/>
      <c r="W772" s="32">
        <f>+R772*'Componentes T.H.'!$Q$9*'Parametros Generales'!$C$6</f>
        <v>10037014.142000001</v>
      </c>
      <c r="X772" s="32">
        <f>(+VLOOKUP(C772,'Transporte y Viaticos'!$B$87:$L$120,2,0)*'Parametros Generales'!$C$7*R772)*(2/3)</f>
        <v>1541801.9233013424</v>
      </c>
      <c r="Y772" s="417"/>
      <c r="Z772" s="417"/>
      <c r="AA772" s="417"/>
      <c r="AB772" s="417">
        <f>+M772*'Parametros Generales'!$C$6*'Parametros Generales'!$J$9</f>
        <v>3895272.7272727285</v>
      </c>
      <c r="AC772" s="417">
        <f>+H772*'Parametros Generales'!$J$10*'Parametros Generales'!$C$6*'Parametros Generales'!$C$11</f>
        <v>14738498.767401624</v>
      </c>
      <c r="AD772" s="417"/>
      <c r="AE772" s="417"/>
      <c r="AF772" s="417"/>
      <c r="AG772" s="417"/>
      <c r="AH772" s="417"/>
      <c r="AI772" s="417"/>
      <c r="AJ772" s="417"/>
      <c r="AK772" s="436"/>
      <c r="AL772" s="822"/>
    </row>
    <row r="773" spans="1:38" s="33" customFormat="1" hidden="1" outlineLevel="1">
      <c r="A773" s="1150"/>
      <c r="B773" s="821">
        <v>52</v>
      </c>
      <c r="C773" s="371" t="s">
        <v>484</v>
      </c>
      <c r="D773" s="31">
        <f>+VLOOKUP(E773,Codigos!$A$1:$B$1123,2,0)</f>
        <v>52227</v>
      </c>
      <c r="E773" s="1121" t="s">
        <v>2070</v>
      </c>
      <c r="F773" s="1103">
        <v>1</v>
      </c>
      <c r="G773" s="30">
        <v>198</v>
      </c>
      <c r="H773" s="1061">
        <f>CEILING(G773,'Parametros Generales'!$C$8)</f>
        <v>200</v>
      </c>
      <c r="I773" s="1085" t="s">
        <v>499</v>
      </c>
      <c r="J773" s="1058">
        <v>200</v>
      </c>
      <c r="K773" s="1070" t="str">
        <f t="shared" si="62"/>
        <v>Ok</v>
      </c>
      <c r="L773" s="1077">
        <f t="shared" si="63"/>
        <v>0</v>
      </c>
      <c r="M773" s="1090">
        <f>+H773/'Parametros Generales'!$C$8</f>
        <v>8</v>
      </c>
      <c r="N773" s="1097"/>
      <c r="O773" s="1097"/>
      <c r="P773" s="1097"/>
      <c r="Q773" s="1097"/>
      <c r="R773" s="1097">
        <f>+(M773/'Parametros Generales'!$C$9)</f>
        <v>2</v>
      </c>
      <c r="S773" s="390"/>
      <c r="T773" s="390"/>
      <c r="U773" s="390"/>
      <c r="V773" s="389"/>
      <c r="W773" s="32">
        <f>+R773*'Componentes T.H.'!$Q$9*'Parametros Generales'!$C$6</f>
        <v>10037014.142000001</v>
      </c>
      <c r="X773" s="32">
        <f>(+VLOOKUP(C773,'Transporte y Viaticos'!$B$87:$L$120,2,0)*'Parametros Generales'!$C$7*R773)*(2/3)</f>
        <v>1541801.9233013424</v>
      </c>
      <c r="Y773" s="417"/>
      <c r="Z773" s="417"/>
      <c r="AA773" s="417"/>
      <c r="AB773" s="417">
        <f>+M773*'Parametros Generales'!$C$6*'Parametros Generales'!$J$9</f>
        <v>3895272.7272727285</v>
      </c>
      <c r="AC773" s="417">
        <f>+H773*'Parametros Generales'!$J$10*'Parametros Generales'!$C$6*'Parametros Generales'!$C$11</f>
        <v>14738498.767401624</v>
      </c>
      <c r="AD773" s="417"/>
      <c r="AE773" s="417"/>
      <c r="AF773" s="417"/>
      <c r="AG773" s="417"/>
      <c r="AH773" s="417"/>
      <c r="AI773" s="417"/>
      <c r="AJ773" s="417"/>
      <c r="AK773" s="436"/>
      <c r="AL773" s="822"/>
    </row>
    <row r="774" spans="1:38" s="33" customFormat="1" hidden="1" outlineLevel="1">
      <c r="A774" s="1150"/>
      <c r="B774" s="821">
        <v>52</v>
      </c>
      <c r="C774" s="371" t="s">
        <v>484</v>
      </c>
      <c r="D774" s="31">
        <f>+VLOOKUP(E774,Codigos!$A$1:$B$1123,2,0)</f>
        <v>52233</v>
      </c>
      <c r="E774" s="1121" t="s">
        <v>2071</v>
      </c>
      <c r="F774" s="1103">
        <v>1</v>
      </c>
      <c r="G774" s="30">
        <v>198</v>
      </c>
      <c r="H774" s="1061">
        <f>CEILING(G774,'Parametros Generales'!$C$8)</f>
        <v>200</v>
      </c>
      <c r="I774" s="1085" t="s">
        <v>500</v>
      </c>
      <c r="J774" s="1058">
        <v>200</v>
      </c>
      <c r="K774" s="1070" t="str">
        <f t="shared" si="62"/>
        <v>Ok</v>
      </c>
      <c r="L774" s="1077">
        <f t="shared" si="63"/>
        <v>0</v>
      </c>
      <c r="M774" s="1090">
        <f>+H774/'Parametros Generales'!$C$8</f>
        <v>8</v>
      </c>
      <c r="N774" s="1097"/>
      <c r="O774" s="1097"/>
      <c r="P774" s="1097"/>
      <c r="Q774" s="1097"/>
      <c r="R774" s="1097">
        <f>+(M774/'Parametros Generales'!$C$9)</f>
        <v>2</v>
      </c>
      <c r="S774" s="390"/>
      <c r="T774" s="390"/>
      <c r="U774" s="390"/>
      <c r="V774" s="389"/>
      <c r="W774" s="32">
        <f>+R774*'Componentes T.H.'!$Q$9*'Parametros Generales'!$C$6</f>
        <v>10037014.142000001</v>
      </c>
      <c r="X774" s="32">
        <f>(+VLOOKUP(C774,'Transporte y Viaticos'!$B$87:$L$120,2,0)*'Parametros Generales'!$C$7*R774)*(2/3)</f>
        <v>1541801.9233013424</v>
      </c>
      <c r="Y774" s="417"/>
      <c r="Z774" s="417"/>
      <c r="AA774" s="417"/>
      <c r="AB774" s="417">
        <f>+M774*'Parametros Generales'!$C$6*'Parametros Generales'!$J$9</f>
        <v>3895272.7272727285</v>
      </c>
      <c r="AC774" s="417">
        <f>+H774*'Parametros Generales'!$J$10*'Parametros Generales'!$C$6*'Parametros Generales'!$C$11</f>
        <v>14738498.767401624</v>
      </c>
      <c r="AD774" s="417"/>
      <c r="AE774" s="417"/>
      <c r="AF774" s="417"/>
      <c r="AG774" s="417"/>
      <c r="AH774" s="417"/>
      <c r="AI774" s="417"/>
      <c r="AJ774" s="417"/>
      <c r="AK774" s="436"/>
      <c r="AL774" s="822"/>
    </row>
    <row r="775" spans="1:38" s="33" customFormat="1" hidden="1" outlineLevel="1">
      <c r="A775" s="1150"/>
      <c r="B775" s="821">
        <v>52</v>
      </c>
      <c r="C775" s="371" t="s">
        <v>484</v>
      </c>
      <c r="D775" s="31">
        <f>+VLOOKUP(E775,Codigos!$A$1:$B$1123,2,0)</f>
        <v>52250</v>
      </c>
      <c r="E775" s="1121" t="s">
        <v>2072</v>
      </c>
      <c r="F775" s="1103">
        <v>1</v>
      </c>
      <c r="G775" s="30">
        <v>198</v>
      </c>
      <c r="H775" s="1061">
        <f>CEILING(G775,'Parametros Generales'!$C$8)</f>
        <v>200</v>
      </c>
      <c r="I775" s="1085" t="s">
        <v>501</v>
      </c>
      <c r="J775" s="1058">
        <v>200</v>
      </c>
      <c r="K775" s="1070" t="str">
        <f t="shared" si="62"/>
        <v>Ok</v>
      </c>
      <c r="L775" s="1077">
        <f t="shared" si="63"/>
        <v>0</v>
      </c>
      <c r="M775" s="1090">
        <f>+H775/'Parametros Generales'!$C$8</f>
        <v>8</v>
      </c>
      <c r="N775" s="1097"/>
      <c r="O775" s="1097"/>
      <c r="P775" s="1097"/>
      <c r="Q775" s="1097"/>
      <c r="R775" s="1097">
        <f>+(M775/'Parametros Generales'!$C$9)</f>
        <v>2</v>
      </c>
      <c r="S775" s="390"/>
      <c r="T775" s="390"/>
      <c r="U775" s="390"/>
      <c r="V775" s="389"/>
      <c r="W775" s="32">
        <f>+R775*'Componentes T.H.'!$Q$9*'Parametros Generales'!$C$6</f>
        <v>10037014.142000001</v>
      </c>
      <c r="X775" s="32">
        <f>(+VLOOKUP(C775,'Transporte y Viaticos'!$B$87:$L$120,2,0)*'Parametros Generales'!$C$7*R775)*(2/3)</f>
        <v>1541801.9233013424</v>
      </c>
      <c r="Y775" s="417"/>
      <c r="Z775" s="417"/>
      <c r="AA775" s="417"/>
      <c r="AB775" s="417">
        <f>+M775*'Parametros Generales'!$C$6*'Parametros Generales'!$J$9</f>
        <v>3895272.7272727285</v>
      </c>
      <c r="AC775" s="417">
        <f>+H775*'Parametros Generales'!$J$10*'Parametros Generales'!$C$6*'Parametros Generales'!$C$11</f>
        <v>14738498.767401624</v>
      </c>
      <c r="AD775" s="417"/>
      <c r="AE775" s="417"/>
      <c r="AF775" s="417"/>
      <c r="AG775" s="417"/>
      <c r="AH775" s="417"/>
      <c r="AI775" s="417"/>
      <c r="AJ775" s="417"/>
      <c r="AK775" s="436"/>
      <c r="AL775" s="822"/>
    </row>
    <row r="776" spans="1:38" s="33" customFormat="1" hidden="1" outlineLevel="1">
      <c r="A776" s="1150"/>
      <c r="B776" s="821">
        <v>52</v>
      </c>
      <c r="C776" s="371" t="s">
        <v>484</v>
      </c>
      <c r="D776" s="31">
        <f>+VLOOKUP(E776,Codigos!$A$1:$B$1123,2,0)</f>
        <v>52254</v>
      </c>
      <c r="E776" s="1121" t="s">
        <v>2073</v>
      </c>
      <c r="F776" s="1103">
        <v>1</v>
      </c>
      <c r="G776" s="30">
        <v>198</v>
      </c>
      <c r="H776" s="1061">
        <f>CEILING(G776,'Parametros Generales'!$C$8)</f>
        <v>200</v>
      </c>
      <c r="I776" s="1085" t="s">
        <v>2394</v>
      </c>
      <c r="J776" s="1058">
        <v>200</v>
      </c>
      <c r="K776" s="1070" t="str">
        <f t="shared" si="62"/>
        <v>Ok</v>
      </c>
      <c r="L776" s="1077">
        <f t="shared" si="63"/>
        <v>0</v>
      </c>
      <c r="M776" s="1090">
        <f>+H776/'Parametros Generales'!$C$8</f>
        <v>8</v>
      </c>
      <c r="N776" s="1097"/>
      <c r="O776" s="1097"/>
      <c r="P776" s="1097"/>
      <c r="Q776" s="1097"/>
      <c r="R776" s="1097">
        <f>+(M776/'Parametros Generales'!$C$9)</f>
        <v>2</v>
      </c>
      <c r="S776" s="390"/>
      <c r="T776" s="390"/>
      <c r="U776" s="390"/>
      <c r="V776" s="389"/>
      <c r="W776" s="32">
        <f>+R776*'Componentes T.H.'!$Q$9*'Parametros Generales'!$C$6</f>
        <v>10037014.142000001</v>
      </c>
      <c r="X776" s="32">
        <f>(+VLOOKUP(C776,'Transporte y Viaticos'!$B$87:$L$120,2,0)*'Parametros Generales'!$C$7*R776)*(2/3)</f>
        <v>1541801.9233013424</v>
      </c>
      <c r="Y776" s="417"/>
      <c r="Z776" s="417"/>
      <c r="AA776" s="417"/>
      <c r="AB776" s="417">
        <f>+M776*'Parametros Generales'!$C$6*'Parametros Generales'!$J$9</f>
        <v>3895272.7272727285</v>
      </c>
      <c r="AC776" s="417">
        <f>+H776*'Parametros Generales'!$J$10*'Parametros Generales'!$C$6*'Parametros Generales'!$C$11</f>
        <v>14738498.767401624</v>
      </c>
      <c r="AD776" s="417"/>
      <c r="AE776" s="417"/>
      <c r="AF776" s="417"/>
      <c r="AG776" s="417"/>
      <c r="AH776" s="417"/>
      <c r="AI776" s="417"/>
      <c r="AJ776" s="417"/>
      <c r="AK776" s="436"/>
      <c r="AL776" s="822"/>
    </row>
    <row r="777" spans="1:38" s="33" customFormat="1" hidden="1" outlineLevel="1">
      <c r="A777" s="1150"/>
      <c r="B777" s="821">
        <v>52</v>
      </c>
      <c r="C777" s="371" t="s">
        <v>484</v>
      </c>
      <c r="D777" s="31">
        <f>+VLOOKUP(E777,Codigos!$A$1:$B$1123,2,0)</f>
        <v>52256</v>
      </c>
      <c r="E777" s="1121" t="s">
        <v>2074</v>
      </c>
      <c r="F777" s="1103">
        <v>1</v>
      </c>
      <c r="G777" s="30">
        <v>198</v>
      </c>
      <c r="H777" s="1061">
        <f>CEILING(G777,'Parametros Generales'!$C$8)</f>
        <v>200</v>
      </c>
      <c r="I777" s="1085" t="s">
        <v>2395</v>
      </c>
      <c r="J777" s="1058">
        <v>200</v>
      </c>
      <c r="K777" s="1070" t="str">
        <f t="shared" si="62"/>
        <v>Ok</v>
      </c>
      <c r="L777" s="1077">
        <f t="shared" si="63"/>
        <v>0</v>
      </c>
      <c r="M777" s="1090">
        <f>+H777/'Parametros Generales'!$C$8</f>
        <v>8</v>
      </c>
      <c r="N777" s="1097"/>
      <c r="O777" s="1097"/>
      <c r="P777" s="1097"/>
      <c r="Q777" s="1097"/>
      <c r="R777" s="1097">
        <f>+(M777/'Parametros Generales'!$C$9)</f>
        <v>2</v>
      </c>
      <c r="S777" s="390"/>
      <c r="T777" s="390"/>
      <c r="U777" s="390"/>
      <c r="V777" s="389"/>
      <c r="W777" s="32">
        <f>+R777*'Componentes T.H.'!$Q$9*'Parametros Generales'!$C$6</f>
        <v>10037014.142000001</v>
      </c>
      <c r="X777" s="32">
        <f>(+VLOOKUP(C777,'Transporte y Viaticos'!$B$87:$L$120,2,0)*'Parametros Generales'!$C$7*R777)*(2/3)</f>
        <v>1541801.9233013424</v>
      </c>
      <c r="Y777" s="417"/>
      <c r="Z777" s="417"/>
      <c r="AA777" s="417"/>
      <c r="AB777" s="417">
        <f>+M777*'Parametros Generales'!$C$6*'Parametros Generales'!$J$9</f>
        <v>3895272.7272727285</v>
      </c>
      <c r="AC777" s="417">
        <f>+H777*'Parametros Generales'!$J$10*'Parametros Generales'!$C$6*'Parametros Generales'!$C$11</f>
        <v>14738498.767401624</v>
      </c>
      <c r="AD777" s="417"/>
      <c r="AE777" s="417"/>
      <c r="AF777" s="417"/>
      <c r="AG777" s="417"/>
      <c r="AH777" s="417"/>
      <c r="AI777" s="417"/>
      <c r="AJ777" s="417"/>
      <c r="AK777" s="436"/>
      <c r="AL777" s="822"/>
    </row>
    <row r="778" spans="1:38" s="33" customFormat="1" hidden="1" outlineLevel="1">
      <c r="A778" s="1150"/>
      <c r="B778" s="821">
        <v>52</v>
      </c>
      <c r="C778" s="371" t="s">
        <v>484</v>
      </c>
      <c r="D778" s="31">
        <f>+VLOOKUP(E778,Codigos!$A$1:$B$1123,2,0)</f>
        <v>52258</v>
      </c>
      <c r="E778" s="1121" t="s">
        <v>2075</v>
      </c>
      <c r="F778" s="1103">
        <v>1</v>
      </c>
      <c r="G778" s="30">
        <v>198</v>
      </c>
      <c r="H778" s="1061">
        <f>CEILING(G778,'Parametros Generales'!$C$8)</f>
        <v>200</v>
      </c>
      <c r="I778" s="1085" t="s">
        <v>502</v>
      </c>
      <c r="J778" s="1058">
        <v>200</v>
      </c>
      <c r="K778" s="1070" t="str">
        <f t="shared" si="62"/>
        <v>Ok</v>
      </c>
      <c r="L778" s="1077">
        <f t="shared" si="63"/>
        <v>0</v>
      </c>
      <c r="M778" s="1090">
        <f>+H778/'Parametros Generales'!$C$8</f>
        <v>8</v>
      </c>
      <c r="N778" s="1097"/>
      <c r="O778" s="1097"/>
      <c r="P778" s="1097"/>
      <c r="Q778" s="1097"/>
      <c r="R778" s="1097">
        <f>+(M778/'Parametros Generales'!$C$9)</f>
        <v>2</v>
      </c>
      <c r="S778" s="390"/>
      <c r="T778" s="390"/>
      <c r="U778" s="390"/>
      <c r="V778" s="389"/>
      <c r="W778" s="32">
        <f>+R778*'Componentes T.H.'!$Q$9*'Parametros Generales'!$C$6</f>
        <v>10037014.142000001</v>
      </c>
      <c r="X778" s="32">
        <f>(+VLOOKUP(C778,'Transporte y Viaticos'!$B$87:$L$120,2,0)*'Parametros Generales'!$C$7*R778)*(2/3)</f>
        <v>1541801.9233013424</v>
      </c>
      <c r="Y778" s="417"/>
      <c r="Z778" s="417"/>
      <c r="AA778" s="417"/>
      <c r="AB778" s="417">
        <f>+M778*'Parametros Generales'!$C$6*'Parametros Generales'!$J$9</f>
        <v>3895272.7272727285</v>
      </c>
      <c r="AC778" s="417">
        <f>+H778*'Parametros Generales'!$J$10*'Parametros Generales'!$C$6*'Parametros Generales'!$C$11</f>
        <v>14738498.767401624</v>
      </c>
      <c r="AD778" s="417"/>
      <c r="AE778" s="417"/>
      <c r="AF778" s="417"/>
      <c r="AG778" s="417"/>
      <c r="AH778" s="417"/>
      <c r="AI778" s="417"/>
      <c r="AJ778" s="417"/>
      <c r="AK778" s="436"/>
      <c r="AL778" s="822"/>
    </row>
    <row r="779" spans="1:38" s="33" customFormat="1" hidden="1" outlineLevel="1">
      <c r="A779" s="1150"/>
      <c r="B779" s="821">
        <v>52</v>
      </c>
      <c r="C779" s="371" t="s">
        <v>484</v>
      </c>
      <c r="D779" s="31">
        <f>+VLOOKUP(E779,Codigos!$A$1:$B$1123,2,0)</f>
        <v>52260</v>
      </c>
      <c r="E779" s="1121" t="s">
        <v>2076</v>
      </c>
      <c r="F779" s="1103">
        <v>1</v>
      </c>
      <c r="G779" s="30">
        <v>198</v>
      </c>
      <c r="H779" s="1061">
        <f>CEILING(G779,'Parametros Generales'!$C$8)</f>
        <v>200</v>
      </c>
      <c r="I779" s="1085" t="s">
        <v>503</v>
      </c>
      <c r="J779" s="1058">
        <v>200</v>
      </c>
      <c r="K779" s="1070" t="str">
        <f t="shared" si="62"/>
        <v>Ok</v>
      </c>
      <c r="L779" s="1077">
        <f t="shared" si="63"/>
        <v>0</v>
      </c>
      <c r="M779" s="1090">
        <f>+H779/'Parametros Generales'!$C$8</f>
        <v>8</v>
      </c>
      <c r="N779" s="1097"/>
      <c r="O779" s="1097"/>
      <c r="P779" s="1097"/>
      <c r="Q779" s="1097"/>
      <c r="R779" s="1097">
        <f>+(M779/'Parametros Generales'!$C$9)</f>
        <v>2</v>
      </c>
      <c r="S779" s="390"/>
      <c r="T779" s="390"/>
      <c r="U779" s="390"/>
      <c r="V779" s="389"/>
      <c r="W779" s="32">
        <f>+R779*'Componentes T.H.'!$Q$9*'Parametros Generales'!$C$6</f>
        <v>10037014.142000001</v>
      </c>
      <c r="X779" s="32">
        <f>(+VLOOKUP(C779,'Transporte y Viaticos'!$B$87:$L$120,2,0)*'Parametros Generales'!$C$7*R779)*(2/3)</f>
        <v>1541801.9233013424</v>
      </c>
      <c r="Y779" s="417"/>
      <c r="Z779" s="417"/>
      <c r="AA779" s="417"/>
      <c r="AB779" s="417">
        <f>+M779*'Parametros Generales'!$C$6*'Parametros Generales'!$J$9</f>
        <v>3895272.7272727285</v>
      </c>
      <c r="AC779" s="417">
        <f>+H779*'Parametros Generales'!$J$10*'Parametros Generales'!$C$6*'Parametros Generales'!$C$11</f>
        <v>14738498.767401624</v>
      </c>
      <c r="AD779" s="417"/>
      <c r="AE779" s="417"/>
      <c r="AF779" s="417"/>
      <c r="AG779" s="417"/>
      <c r="AH779" s="417"/>
      <c r="AI779" s="417"/>
      <c r="AJ779" s="417"/>
      <c r="AK779" s="436"/>
      <c r="AL779" s="822"/>
    </row>
    <row r="780" spans="1:38" s="33" customFormat="1" hidden="1" outlineLevel="1">
      <c r="A780" s="1150"/>
      <c r="B780" s="821">
        <v>52</v>
      </c>
      <c r="C780" s="371" t="s">
        <v>484</v>
      </c>
      <c r="D780" s="31">
        <f>+VLOOKUP(E780,Codigos!$A$1:$B$1123,2,0)</f>
        <v>52520</v>
      </c>
      <c r="E780" s="1121" t="s">
        <v>2077</v>
      </c>
      <c r="F780" s="1103">
        <v>1</v>
      </c>
      <c r="G780" s="30">
        <v>198</v>
      </c>
      <c r="H780" s="1061">
        <f>CEILING(G780,'Parametros Generales'!$C$8)</f>
        <v>200</v>
      </c>
      <c r="I780" s="1085" t="s">
        <v>2396</v>
      </c>
      <c r="J780" s="1058">
        <v>200</v>
      </c>
      <c r="K780" s="1070" t="str">
        <f t="shared" si="62"/>
        <v>Ok</v>
      </c>
      <c r="L780" s="1077">
        <f t="shared" si="63"/>
        <v>0</v>
      </c>
      <c r="M780" s="1090">
        <f>+H780/'Parametros Generales'!$C$8</f>
        <v>8</v>
      </c>
      <c r="N780" s="1097"/>
      <c r="O780" s="1097"/>
      <c r="P780" s="1097"/>
      <c r="Q780" s="1097"/>
      <c r="R780" s="1097">
        <f>+(M780/'Parametros Generales'!$C$9)</f>
        <v>2</v>
      </c>
      <c r="S780" s="390"/>
      <c r="T780" s="390"/>
      <c r="U780" s="390"/>
      <c r="V780" s="389"/>
      <c r="W780" s="32">
        <f>+R780*'Componentes T.H.'!$Q$9*'Parametros Generales'!$C$6</f>
        <v>10037014.142000001</v>
      </c>
      <c r="X780" s="32">
        <f>(+VLOOKUP(C780,'Transporte y Viaticos'!$B$87:$L$120,2,0)*'Parametros Generales'!$C$7*R780)*(2/3)</f>
        <v>1541801.9233013424</v>
      </c>
      <c r="Y780" s="417"/>
      <c r="Z780" s="417"/>
      <c r="AA780" s="417"/>
      <c r="AB780" s="417">
        <f>+M780*'Parametros Generales'!$C$6*'Parametros Generales'!$J$9</f>
        <v>3895272.7272727285</v>
      </c>
      <c r="AC780" s="417">
        <f>+H780*'Parametros Generales'!$J$10*'Parametros Generales'!$C$6*'Parametros Generales'!$C$11</f>
        <v>14738498.767401624</v>
      </c>
      <c r="AD780" s="417"/>
      <c r="AE780" s="417"/>
      <c r="AF780" s="417"/>
      <c r="AG780" s="417"/>
      <c r="AH780" s="417"/>
      <c r="AI780" s="417"/>
      <c r="AJ780" s="417"/>
      <c r="AK780" s="436"/>
      <c r="AL780" s="822"/>
    </row>
    <row r="781" spans="1:38" s="33" customFormat="1" hidden="1" outlineLevel="1">
      <c r="A781" s="1150"/>
      <c r="B781" s="821">
        <v>52</v>
      </c>
      <c r="C781" s="371" t="s">
        <v>484</v>
      </c>
      <c r="D781" s="31">
        <f>+VLOOKUP(E781,Codigos!$A$1:$B$1123,2,0)</f>
        <v>52287</v>
      </c>
      <c r="E781" s="1121" t="s">
        <v>2078</v>
      </c>
      <c r="F781" s="1103">
        <v>1</v>
      </c>
      <c r="G781" s="30">
        <v>198</v>
      </c>
      <c r="H781" s="1061">
        <f>CEILING(G781,'Parametros Generales'!$C$8)</f>
        <v>200</v>
      </c>
      <c r="I781" s="1085" t="s">
        <v>504</v>
      </c>
      <c r="J781" s="1058">
        <v>200</v>
      </c>
      <c r="K781" s="1070" t="str">
        <f t="shared" si="62"/>
        <v>Ok</v>
      </c>
      <c r="L781" s="1077">
        <f t="shared" si="63"/>
        <v>0</v>
      </c>
      <c r="M781" s="1090">
        <f>+H781/'Parametros Generales'!$C$8</f>
        <v>8</v>
      </c>
      <c r="N781" s="1097"/>
      <c r="O781" s="1097"/>
      <c r="P781" s="1097"/>
      <c r="Q781" s="1097"/>
      <c r="R781" s="1097">
        <f>+(M781/'Parametros Generales'!$C$9)</f>
        <v>2</v>
      </c>
      <c r="S781" s="390"/>
      <c r="T781" s="390"/>
      <c r="U781" s="390"/>
      <c r="V781" s="389"/>
      <c r="W781" s="32">
        <f>+R781*'Componentes T.H.'!$Q$9*'Parametros Generales'!$C$6</f>
        <v>10037014.142000001</v>
      </c>
      <c r="X781" s="32">
        <f>(+VLOOKUP(C781,'Transporte y Viaticos'!$B$87:$L$120,2,0)*'Parametros Generales'!$C$7*R781)*(2/3)</f>
        <v>1541801.9233013424</v>
      </c>
      <c r="Y781" s="417"/>
      <c r="Z781" s="417"/>
      <c r="AA781" s="417"/>
      <c r="AB781" s="417">
        <f>+M781*'Parametros Generales'!$C$6*'Parametros Generales'!$J$9</f>
        <v>3895272.7272727285</v>
      </c>
      <c r="AC781" s="417">
        <f>+H781*'Parametros Generales'!$J$10*'Parametros Generales'!$C$6*'Parametros Generales'!$C$11</f>
        <v>14738498.767401624</v>
      </c>
      <c r="AD781" s="417"/>
      <c r="AE781" s="417"/>
      <c r="AF781" s="417"/>
      <c r="AG781" s="417"/>
      <c r="AH781" s="417"/>
      <c r="AI781" s="417"/>
      <c r="AJ781" s="417"/>
      <c r="AK781" s="436"/>
      <c r="AL781" s="822"/>
    </row>
    <row r="782" spans="1:38" s="33" customFormat="1" hidden="1" outlineLevel="1">
      <c r="A782" s="1150"/>
      <c r="B782" s="821">
        <v>52</v>
      </c>
      <c r="C782" s="371" t="s">
        <v>484</v>
      </c>
      <c r="D782" s="31">
        <f>+VLOOKUP(E782,Codigos!$A$1:$B$1123,2,0)</f>
        <v>52317</v>
      </c>
      <c r="E782" s="1121" t="s">
        <v>2079</v>
      </c>
      <c r="F782" s="1103">
        <v>1</v>
      </c>
      <c r="G782" s="30">
        <v>198</v>
      </c>
      <c r="H782" s="1061">
        <f>CEILING(G782,'Parametros Generales'!$C$8)</f>
        <v>200</v>
      </c>
      <c r="I782" s="1085" t="s">
        <v>505</v>
      </c>
      <c r="J782" s="1058">
        <v>200</v>
      </c>
      <c r="K782" s="1070" t="str">
        <f t="shared" si="62"/>
        <v>Ok</v>
      </c>
      <c r="L782" s="1077">
        <f t="shared" si="63"/>
        <v>0</v>
      </c>
      <c r="M782" s="1090">
        <f>+H782/'Parametros Generales'!$C$8</f>
        <v>8</v>
      </c>
      <c r="N782" s="1097"/>
      <c r="O782" s="1097"/>
      <c r="P782" s="1097"/>
      <c r="Q782" s="1097"/>
      <c r="R782" s="1097">
        <f>+(M782/'Parametros Generales'!$C$9)</f>
        <v>2</v>
      </c>
      <c r="S782" s="390"/>
      <c r="T782" s="390"/>
      <c r="U782" s="390"/>
      <c r="V782" s="389"/>
      <c r="W782" s="32">
        <f>+R782*'Componentes T.H.'!$Q$9*'Parametros Generales'!$C$6</f>
        <v>10037014.142000001</v>
      </c>
      <c r="X782" s="32">
        <f>(+VLOOKUP(C782,'Transporte y Viaticos'!$B$87:$L$120,2,0)*'Parametros Generales'!$C$7*R782)*(2/3)</f>
        <v>1541801.9233013424</v>
      </c>
      <c r="Y782" s="417"/>
      <c r="Z782" s="417"/>
      <c r="AA782" s="417"/>
      <c r="AB782" s="417">
        <f>+M782*'Parametros Generales'!$C$6*'Parametros Generales'!$J$9</f>
        <v>3895272.7272727285</v>
      </c>
      <c r="AC782" s="417">
        <f>+H782*'Parametros Generales'!$J$10*'Parametros Generales'!$C$6*'Parametros Generales'!$C$11</f>
        <v>14738498.767401624</v>
      </c>
      <c r="AD782" s="417"/>
      <c r="AE782" s="417"/>
      <c r="AF782" s="417"/>
      <c r="AG782" s="417"/>
      <c r="AH782" s="417"/>
      <c r="AI782" s="417"/>
      <c r="AJ782" s="417"/>
      <c r="AK782" s="436"/>
      <c r="AL782" s="822"/>
    </row>
    <row r="783" spans="1:38" s="33" customFormat="1" hidden="1" outlineLevel="1">
      <c r="A783" s="1150"/>
      <c r="B783" s="821">
        <v>52</v>
      </c>
      <c r="C783" s="371" t="s">
        <v>484</v>
      </c>
      <c r="D783" s="31">
        <f>+VLOOKUP(E783,Codigos!$A$1:$B$1123,2,0)</f>
        <v>52320</v>
      </c>
      <c r="E783" s="1121" t="s">
        <v>2080</v>
      </c>
      <c r="F783" s="1103">
        <v>1</v>
      </c>
      <c r="G783" s="30">
        <v>198</v>
      </c>
      <c r="H783" s="1061">
        <f>CEILING(G783,'Parametros Generales'!$C$8)</f>
        <v>200</v>
      </c>
      <c r="I783" s="1085" t="s">
        <v>506</v>
      </c>
      <c r="J783" s="1058">
        <v>200</v>
      </c>
      <c r="K783" s="1070" t="str">
        <f t="shared" si="62"/>
        <v>Ok</v>
      </c>
      <c r="L783" s="1077">
        <f t="shared" si="63"/>
        <v>0</v>
      </c>
      <c r="M783" s="1090">
        <f>+H783/'Parametros Generales'!$C$8</f>
        <v>8</v>
      </c>
      <c r="N783" s="1097"/>
      <c r="O783" s="1097"/>
      <c r="P783" s="1097"/>
      <c r="Q783" s="1097"/>
      <c r="R783" s="1097">
        <f>+(M783/'Parametros Generales'!$C$9)</f>
        <v>2</v>
      </c>
      <c r="S783" s="390"/>
      <c r="T783" s="390"/>
      <c r="U783" s="390"/>
      <c r="V783" s="389"/>
      <c r="W783" s="32">
        <f>+R783*'Componentes T.H.'!$Q$9*'Parametros Generales'!$C$6</f>
        <v>10037014.142000001</v>
      </c>
      <c r="X783" s="32">
        <f>(+VLOOKUP(C783,'Transporte y Viaticos'!$B$87:$L$120,2,0)*'Parametros Generales'!$C$7*R783)*(2/3)</f>
        <v>1541801.9233013424</v>
      </c>
      <c r="Y783" s="417"/>
      <c r="Z783" s="417"/>
      <c r="AA783" s="417"/>
      <c r="AB783" s="417">
        <f>+M783*'Parametros Generales'!$C$6*'Parametros Generales'!$J$9</f>
        <v>3895272.7272727285</v>
      </c>
      <c r="AC783" s="417">
        <f>+H783*'Parametros Generales'!$J$10*'Parametros Generales'!$C$6*'Parametros Generales'!$C$11</f>
        <v>14738498.767401624</v>
      </c>
      <c r="AD783" s="417"/>
      <c r="AE783" s="417"/>
      <c r="AF783" s="417"/>
      <c r="AG783" s="417"/>
      <c r="AH783" s="417"/>
      <c r="AI783" s="417"/>
      <c r="AJ783" s="417"/>
      <c r="AK783" s="436"/>
      <c r="AL783" s="822"/>
    </row>
    <row r="784" spans="1:38" s="33" customFormat="1" hidden="1" outlineLevel="1">
      <c r="A784" s="1150"/>
      <c r="B784" s="821">
        <v>52</v>
      </c>
      <c r="C784" s="371" t="s">
        <v>484</v>
      </c>
      <c r="D784" s="31">
        <f>+VLOOKUP(E784,Codigos!$A$1:$B$1123,2,0)</f>
        <v>52323</v>
      </c>
      <c r="E784" s="1121" t="s">
        <v>2081</v>
      </c>
      <c r="F784" s="1103">
        <v>1</v>
      </c>
      <c r="G784" s="30">
        <v>198</v>
      </c>
      <c r="H784" s="1061">
        <f>CEILING(G784,'Parametros Generales'!$C$8)</f>
        <v>200</v>
      </c>
      <c r="I784" s="1085" t="s">
        <v>507</v>
      </c>
      <c r="J784" s="1058">
        <v>200</v>
      </c>
      <c r="K784" s="1070" t="str">
        <f t="shared" si="62"/>
        <v>Ok</v>
      </c>
      <c r="L784" s="1077">
        <f t="shared" si="63"/>
        <v>0</v>
      </c>
      <c r="M784" s="1090">
        <f>+H784/'Parametros Generales'!$C$8</f>
        <v>8</v>
      </c>
      <c r="N784" s="1097"/>
      <c r="O784" s="1097"/>
      <c r="P784" s="1097"/>
      <c r="Q784" s="1097"/>
      <c r="R784" s="1097">
        <f>+(M784/'Parametros Generales'!$C$9)</f>
        <v>2</v>
      </c>
      <c r="S784" s="390"/>
      <c r="T784" s="390"/>
      <c r="U784" s="390"/>
      <c r="V784" s="389"/>
      <c r="W784" s="32">
        <f>+R784*'Componentes T.H.'!$Q$9*'Parametros Generales'!$C$6</f>
        <v>10037014.142000001</v>
      </c>
      <c r="X784" s="32">
        <f>(+VLOOKUP(C784,'Transporte y Viaticos'!$B$87:$L$120,2,0)*'Parametros Generales'!$C$7*R784)*(2/3)</f>
        <v>1541801.9233013424</v>
      </c>
      <c r="Y784" s="417"/>
      <c r="Z784" s="417"/>
      <c r="AA784" s="417"/>
      <c r="AB784" s="417">
        <f>+M784*'Parametros Generales'!$C$6*'Parametros Generales'!$J$9</f>
        <v>3895272.7272727285</v>
      </c>
      <c r="AC784" s="417">
        <f>+H784*'Parametros Generales'!$J$10*'Parametros Generales'!$C$6*'Parametros Generales'!$C$11</f>
        <v>14738498.767401624</v>
      </c>
      <c r="AD784" s="417"/>
      <c r="AE784" s="417"/>
      <c r="AF784" s="417"/>
      <c r="AG784" s="417"/>
      <c r="AH784" s="417"/>
      <c r="AI784" s="417"/>
      <c r="AJ784" s="417"/>
      <c r="AK784" s="436"/>
      <c r="AL784" s="822"/>
    </row>
    <row r="785" spans="1:38" s="33" customFormat="1" hidden="1" outlineLevel="1">
      <c r="A785" s="1150"/>
      <c r="B785" s="821">
        <v>52</v>
      </c>
      <c r="C785" s="371" t="s">
        <v>484</v>
      </c>
      <c r="D785" s="31">
        <f>+VLOOKUP(E785,Codigos!$A$1:$B$1123,2,0)</f>
        <v>52352</v>
      </c>
      <c r="E785" s="1121" t="s">
        <v>2082</v>
      </c>
      <c r="F785" s="1103">
        <v>1</v>
      </c>
      <c r="G785" s="30">
        <v>198</v>
      </c>
      <c r="H785" s="1061">
        <f>CEILING(G785,'Parametros Generales'!$C$8)</f>
        <v>200</v>
      </c>
      <c r="I785" s="1085" t="s">
        <v>508</v>
      </c>
      <c r="J785" s="1058">
        <v>200</v>
      </c>
      <c r="K785" s="1070" t="str">
        <f t="shared" si="62"/>
        <v>Ok</v>
      </c>
      <c r="L785" s="1077">
        <f t="shared" si="63"/>
        <v>0</v>
      </c>
      <c r="M785" s="1090">
        <f>+H785/'Parametros Generales'!$C$8</f>
        <v>8</v>
      </c>
      <c r="N785" s="1097"/>
      <c r="O785" s="1097"/>
      <c r="P785" s="1097"/>
      <c r="Q785" s="1097"/>
      <c r="R785" s="1097">
        <f>+(M785/'Parametros Generales'!$C$9)</f>
        <v>2</v>
      </c>
      <c r="S785" s="390"/>
      <c r="T785" s="390"/>
      <c r="U785" s="390"/>
      <c r="V785" s="389"/>
      <c r="W785" s="32">
        <f>+R785*'Componentes T.H.'!$Q$9*'Parametros Generales'!$C$6</f>
        <v>10037014.142000001</v>
      </c>
      <c r="X785" s="32">
        <f>(+VLOOKUP(C785,'Transporte y Viaticos'!$B$87:$L$120,2,0)*'Parametros Generales'!$C$7*R785)*(2/3)</f>
        <v>1541801.9233013424</v>
      </c>
      <c r="Y785" s="417"/>
      <c r="Z785" s="417"/>
      <c r="AA785" s="417"/>
      <c r="AB785" s="417">
        <f>+M785*'Parametros Generales'!$C$6*'Parametros Generales'!$J$9</f>
        <v>3895272.7272727285</v>
      </c>
      <c r="AC785" s="417">
        <f>+H785*'Parametros Generales'!$J$10*'Parametros Generales'!$C$6*'Parametros Generales'!$C$11</f>
        <v>14738498.767401624</v>
      </c>
      <c r="AD785" s="417"/>
      <c r="AE785" s="417"/>
      <c r="AF785" s="417"/>
      <c r="AG785" s="417"/>
      <c r="AH785" s="417"/>
      <c r="AI785" s="417"/>
      <c r="AJ785" s="417"/>
      <c r="AK785" s="436"/>
      <c r="AL785" s="822"/>
    </row>
    <row r="786" spans="1:38" s="33" customFormat="1" hidden="1" outlineLevel="1">
      <c r="A786" s="1150"/>
      <c r="B786" s="821">
        <v>52</v>
      </c>
      <c r="C786" s="371" t="s">
        <v>484</v>
      </c>
      <c r="D786" s="31">
        <f>+VLOOKUP(E786,Codigos!$A$1:$B$1123,2,0)</f>
        <v>52354</v>
      </c>
      <c r="E786" s="1121" t="s">
        <v>2083</v>
      </c>
      <c r="F786" s="1103">
        <v>1</v>
      </c>
      <c r="G786" s="30">
        <v>198</v>
      </c>
      <c r="H786" s="1061">
        <f>CEILING(G786,'Parametros Generales'!$C$8)</f>
        <v>200</v>
      </c>
      <c r="I786" s="1085" t="s">
        <v>509</v>
      </c>
      <c r="J786" s="1058">
        <v>200</v>
      </c>
      <c r="K786" s="1070" t="str">
        <f t="shared" si="62"/>
        <v>Ok</v>
      </c>
      <c r="L786" s="1077">
        <f t="shared" si="63"/>
        <v>0</v>
      </c>
      <c r="M786" s="1090">
        <f>+H786/'Parametros Generales'!$C$8</f>
        <v>8</v>
      </c>
      <c r="N786" s="1097"/>
      <c r="O786" s="1097"/>
      <c r="P786" s="1097"/>
      <c r="Q786" s="1097"/>
      <c r="R786" s="1097">
        <f>+(M786/'Parametros Generales'!$C$9)</f>
        <v>2</v>
      </c>
      <c r="S786" s="390"/>
      <c r="T786" s="390"/>
      <c r="U786" s="390"/>
      <c r="V786" s="389"/>
      <c r="W786" s="32">
        <f>+R786*'Componentes T.H.'!$Q$9*'Parametros Generales'!$C$6</f>
        <v>10037014.142000001</v>
      </c>
      <c r="X786" s="32">
        <f>(+VLOOKUP(C786,'Transporte y Viaticos'!$B$87:$L$120,2,0)*'Parametros Generales'!$C$7*R786)*(2/3)</f>
        <v>1541801.9233013424</v>
      </c>
      <c r="Y786" s="417"/>
      <c r="Z786" s="417"/>
      <c r="AA786" s="417"/>
      <c r="AB786" s="417">
        <f>+M786*'Parametros Generales'!$C$6*'Parametros Generales'!$J$9</f>
        <v>3895272.7272727285</v>
      </c>
      <c r="AC786" s="417">
        <f>+H786*'Parametros Generales'!$J$10*'Parametros Generales'!$C$6*'Parametros Generales'!$C$11</f>
        <v>14738498.767401624</v>
      </c>
      <c r="AD786" s="417"/>
      <c r="AE786" s="417"/>
      <c r="AF786" s="417"/>
      <c r="AG786" s="417"/>
      <c r="AH786" s="417"/>
      <c r="AI786" s="417"/>
      <c r="AJ786" s="417"/>
      <c r="AK786" s="436"/>
      <c r="AL786" s="822"/>
    </row>
    <row r="787" spans="1:38" s="33" customFormat="1" hidden="1" outlineLevel="1">
      <c r="A787" s="1150"/>
      <c r="B787" s="821">
        <v>52</v>
      </c>
      <c r="C787" s="371" t="s">
        <v>484</v>
      </c>
      <c r="D787" s="31">
        <f>+VLOOKUP(E787,Codigos!$A$1:$B$1123,2,0)</f>
        <v>52356</v>
      </c>
      <c r="E787" s="1121" t="s">
        <v>2084</v>
      </c>
      <c r="F787" s="1103">
        <v>1</v>
      </c>
      <c r="G787" s="30">
        <v>792</v>
      </c>
      <c r="H787" s="1061">
        <f>CEILING(G787,'Parametros Generales'!$C$8)</f>
        <v>800</v>
      </c>
      <c r="I787" s="1085" t="s">
        <v>510</v>
      </c>
      <c r="J787" s="1058">
        <v>800</v>
      </c>
      <c r="K787" s="1070" t="str">
        <f t="shared" si="62"/>
        <v>Ok</v>
      </c>
      <c r="L787" s="1077">
        <f t="shared" si="63"/>
        <v>0</v>
      </c>
      <c r="M787" s="1090">
        <f>+H787/'Parametros Generales'!$C$8</f>
        <v>32</v>
      </c>
      <c r="N787" s="1097"/>
      <c r="O787" s="1097"/>
      <c r="P787" s="1097"/>
      <c r="Q787" s="1097"/>
      <c r="R787" s="1097">
        <f>+(M787/'Parametros Generales'!$C$9)</f>
        <v>8</v>
      </c>
      <c r="S787" s="390"/>
      <c r="T787" s="390"/>
      <c r="U787" s="390"/>
      <c r="V787" s="389"/>
      <c r="W787" s="32">
        <f>+R787*'Componentes T.H.'!$Q$9*'Parametros Generales'!$C$6</f>
        <v>40148056.568000004</v>
      </c>
      <c r="X787" s="32">
        <f>(+VLOOKUP(C787,'Transporte y Viaticos'!$B$87:$L$120,2,0)*'Parametros Generales'!$C$7*R787)*(2/3)</f>
        <v>6167207.6932053696</v>
      </c>
      <c r="Y787" s="417"/>
      <c r="Z787" s="417"/>
      <c r="AA787" s="417"/>
      <c r="AB787" s="417">
        <f>+M787*'Parametros Generales'!$C$6*'Parametros Generales'!$J$9</f>
        <v>15581090.909090914</v>
      </c>
      <c r="AC787" s="417">
        <f>+H787*'Parametros Generales'!$J$10*'Parametros Generales'!$C$6*'Parametros Generales'!$C$11</f>
        <v>58953995.069606498</v>
      </c>
      <c r="AD787" s="417"/>
      <c r="AE787" s="417"/>
      <c r="AF787" s="417"/>
      <c r="AG787" s="417"/>
      <c r="AH787" s="417"/>
      <c r="AI787" s="417"/>
      <c r="AJ787" s="417"/>
      <c r="AK787" s="436"/>
      <c r="AL787" s="822"/>
    </row>
    <row r="788" spans="1:38" s="33" customFormat="1" hidden="1" outlineLevel="1">
      <c r="A788" s="1150"/>
      <c r="B788" s="821">
        <v>52</v>
      </c>
      <c r="C788" s="371" t="s">
        <v>484</v>
      </c>
      <c r="D788" s="31">
        <f>+VLOOKUP(E788,Codigos!$A$1:$B$1123,2,0)</f>
        <v>52378</v>
      </c>
      <c r="E788" s="1121" t="s">
        <v>2085</v>
      </c>
      <c r="F788" s="1103">
        <v>1</v>
      </c>
      <c r="G788" s="30">
        <v>396</v>
      </c>
      <c r="H788" s="1061">
        <f>CEILING(G788,'Parametros Generales'!$C$8)</f>
        <v>400</v>
      </c>
      <c r="I788" s="1085" t="s">
        <v>2397</v>
      </c>
      <c r="J788" s="1058">
        <v>400</v>
      </c>
      <c r="K788" s="1070" t="str">
        <f t="shared" si="62"/>
        <v>Ok</v>
      </c>
      <c r="L788" s="1077">
        <f t="shared" si="63"/>
        <v>0</v>
      </c>
      <c r="M788" s="1090">
        <f>+H788/'Parametros Generales'!$C$8</f>
        <v>16</v>
      </c>
      <c r="N788" s="1097"/>
      <c r="O788" s="1097"/>
      <c r="P788" s="1097"/>
      <c r="Q788" s="1097"/>
      <c r="R788" s="1097">
        <f>+(M788/'Parametros Generales'!$C$9)</f>
        <v>4</v>
      </c>
      <c r="S788" s="390"/>
      <c r="T788" s="390"/>
      <c r="U788" s="390"/>
      <c r="V788" s="389"/>
      <c r="W788" s="32">
        <f>+R788*'Componentes T.H.'!$Q$9*'Parametros Generales'!$C$6</f>
        <v>20074028.284000002</v>
      </c>
      <c r="X788" s="32">
        <f>(+VLOOKUP(C788,'Transporte y Viaticos'!$B$87:$L$120,2,0)*'Parametros Generales'!$C$7*R788)*(2/3)</f>
        <v>3083603.8466026848</v>
      </c>
      <c r="Y788" s="417"/>
      <c r="Z788" s="417"/>
      <c r="AA788" s="417"/>
      <c r="AB788" s="417">
        <f>+M788*'Parametros Generales'!$C$6*'Parametros Generales'!$J$9</f>
        <v>7790545.4545454569</v>
      </c>
      <c r="AC788" s="417">
        <f>+H788*'Parametros Generales'!$J$10*'Parametros Generales'!$C$6*'Parametros Generales'!$C$11</f>
        <v>29476997.534803249</v>
      </c>
      <c r="AD788" s="417"/>
      <c r="AE788" s="417"/>
      <c r="AF788" s="417"/>
      <c r="AG788" s="417"/>
      <c r="AH788" s="417"/>
      <c r="AI788" s="417"/>
      <c r="AJ788" s="417"/>
      <c r="AK788" s="436"/>
      <c r="AL788" s="822"/>
    </row>
    <row r="789" spans="1:38" s="33" customFormat="1" hidden="1" outlineLevel="1">
      <c r="A789" s="1150"/>
      <c r="B789" s="821">
        <v>52</v>
      </c>
      <c r="C789" s="371" t="s">
        <v>484</v>
      </c>
      <c r="D789" s="31">
        <f>+VLOOKUP(E789,Codigos!$A$1:$B$1123,2,0)</f>
        <v>52381</v>
      </c>
      <c r="E789" s="1121" t="s">
        <v>2086</v>
      </c>
      <c r="F789" s="1103">
        <v>1</v>
      </c>
      <c r="G789" s="30">
        <v>198</v>
      </c>
      <c r="H789" s="1061">
        <f>CEILING(G789,'Parametros Generales'!$C$8)</f>
        <v>200</v>
      </c>
      <c r="I789" s="1085" t="s">
        <v>2398</v>
      </c>
      <c r="J789" s="1058">
        <v>200</v>
      </c>
      <c r="K789" s="1070" t="str">
        <f t="shared" si="62"/>
        <v>Ok</v>
      </c>
      <c r="L789" s="1077">
        <f t="shared" si="63"/>
        <v>0</v>
      </c>
      <c r="M789" s="1090">
        <f>+H789/'Parametros Generales'!$C$8</f>
        <v>8</v>
      </c>
      <c r="N789" s="1097"/>
      <c r="O789" s="1097"/>
      <c r="P789" s="1097"/>
      <c r="Q789" s="1097"/>
      <c r="R789" s="1097">
        <f>+(M789/'Parametros Generales'!$C$9)</f>
        <v>2</v>
      </c>
      <c r="S789" s="390"/>
      <c r="T789" s="390"/>
      <c r="U789" s="390"/>
      <c r="V789" s="389"/>
      <c r="W789" s="32">
        <f>+R789*'Componentes T.H.'!$Q$9*'Parametros Generales'!$C$6</f>
        <v>10037014.142000001</v>
      </c>
      <c r="X789" s="32">
        <f>(+VLOOKUP(C789,'Transporte y Viaticos'!$B$87:$L$120,2,0)*'Parametros Generales'!$C$7*R789)*(2/3)</f>
        <v>1541801.9233013424</v>
      </c>
      <c r="Y789" s="417"/>
      <c r="Z789" s="417"/>
      <c r="AA789" s="417"/>
      <c r="AB789" s="417">
        <f>+M789*'Parametros Generales'!$C$6*'Parametros Generales'!$J$9</f>
        <v>3895272.7272727285</v>
      </c>
      <c r="AC789" s="417">
        <f>+H789*'Parametros Generales'!$J$10*'Parametros Generales'!$C$6*'Parametros Generales'!$C$11</f>
        <v>14738498.767401624</v>
      </c>
      <c r="AD789" s="417"/>
      <c r="AE789" s="417"/>
      <c r="AF789" s="417"/>
      <c r="AG789" s="417"/>
      <c r="AH789" s="417"/>
      <c r="AI789" s="417"/>
      <c r="AJ789" s="417"/>
      <c r="AK789" s="436"/>
      <c r="AL789" s="822"/>
    </row>
    <row r="790" spans="1:38" s="33" customFormat="1" hidden="1" outlineLevel="1">
      <c r="A790" s="1150"/>
      <c r="B790" s="821">
        <v>52</v>
      </c>
      <c r="C790" s="371" t="s">
        <v>484</v>
      </c>
      <c r="D790" s="31">
        <f>+VLOOKUP(E790,Codigos!$A$1:$B$1123,2,0)</f>
        <v>52385</v>
      </c>
      <c r="E790" s="1121" t="s">
        <v>2087</v>
      </c>
      <c r="F790" s="1103">
        <v>1</v>
      </c>
      <c r="G790" s="30">
        <v>198</v>
      </c>
      <c r="H790" s="1061">
        <f>CEILING(G790,'Parametros Generales'!$C$8)</f>
        <v>200</v>
      </c>
      <c r="I790" s="1085" t="s">
        <v>2399</v>
      </c>
      <c r="J790" s="1058">
        <v>200</v>
      </c>
      <c r="K790" s="1070" t="str">
        <f t="shared" si="62"/>
        <v>Ok</v>
      </c>
      <c r="L790" s="1077">
        <f t="shared" si="63"/>
        <v>0</v>
      </c>
      <c r="M790" s="1090">
        <f>+H790/'Parametros Generales'!$C$8</f>
        <v>8</v>
      </c>
      <c r="N790" s="1097"/>
      <c r="O790" s="1097"/>
      <c r="P790" s="1097"/>
      <c r="Q790" s="1097"/>
      <c r="R790" s="1097">
        <f>+(M790/'Parametros Generales'!$C$9)</f>
        <v>2</v>
      </c>
      <c r="S790" s="390"/>
      <c r="T790" s="390"/>
      <c r="U790" s="390"/>
      <c r="V790" s="389"/>
      <c r="W790" s="32">
        <f>+R790*'Componentes T.H.'!$Q$9*'Parametros Generales'!$C$6</f>
        <v>10037014.142000001</v>
      </c>
      <c r="X790" s="32">
        <f>(+VLOOKUP(C790,'Transporte y Viaticos'!$B$87:$L$120,2,0)*'Parametros Generales'!$C$7*R790)*(2/3)</f>
        <v>1541801.9233013424</v>
      </c>
      <c r="Y790" s="417"/>
      <c r="Z790" s="417"/>
      <c r="AA790" s="417"/>
      <c r="AB790" s="417">
        <f>+M790*'Parametros Generales'!$C$6*'Parametros Generales'!$J$9</f>
        <v>3895272.7272727285</v>
      </c>
      <c r="AC790" s="417">
        <f>+H790*'Parametros Generales'!$J$10*'Parametros Generales'!$C$6*'Parametros Generales'!$C$11</f>
        <v>14738498.767401624</v>
      </c>
      <c r="AD790" s="417"/>
      <c r="AE790" s="417"/>
      <c r="AF790" s="417"/>
      <c r="AG790" s="417"/>
      <c r="AH790" s="417"/>
      <c r="AI790" s="417"/>
      <c r="AJ790" s="417"/>
      <c r="AK790" s="436"/>
      <c r="AL790" s="822"/>
    </row>
    <row r="791" spans="1:38" s="33" customFormat="1" hidden="1" outlineLevel="1">
      <c r="A791" s="1150"/>
      <c r="B791" s="821">
        <v>52</v>
      </c>
      <c r="C791" s="371" t="s">
        <v>484</v>
      </c>
      <c r="D791" s="31">
        <f>+VLOOKUP(E791,Codigos!$A$1:$B$1123,2,0)</f>
        <v>52390</v>
      </c>
      <c r="E791" s="1121" t="s">
        <v>2088</v>
      </c>
      <c r="F791" s="1103">
        <v>1</v>
      </c>
      <c r="G791" s="30">
        <v>198</v>
      </c>
      <c r="H791" s="1061">
        <f>CEILING(G791,'Parametros Generales'!$C$8)</f>
        <v>200</v>
      </c>
      <c r="I791" s="1085" t="s">
        <v>2400</v>
      </c>
      <c r="J791" s="1058">
        <v>200</v>
      </c>
      <c r="K791" s="1070" t="str">
        <f t="shared" si="62"/>
        <v>Ok</v>
      </c>
      <c r="L791" s="1077">
        <f t="shared" si="63"/>
        <v>0</v>
      </c>
      <c r="M791" s="1090">
        <f>+H791/'Parametros Generales'!$C$8</f>
        <v>8</v>
      </c>
      <c r="N791" s="1097"/>
      <c r="O791" s="1097"/>
      <c r="P791" s="1097"/>
      <c r="Q791" s="1097"/>
      <c r="R791" s="1097">
        <f>+(M791/'Parametros Generales'!$C$9)</f>
        <v>2</v>
      </c>
      <c r="S791" s="390"/>
      <c r="T791" s="390"/>
      <c r="U791" s="390"/>
      <c r="V791" s="389"/>
      <c r="W791" s="32">
        <f>+R791*'Componentes T.H.'!$Q$9*'Parametros Generales'!$C$6</f>
        <v>10037014.142000001</v>
      </c>
      <c r="X791" s="32">
        <f>(+VLOOKUP(C791,'Transporte y Viaticos'!$B$87:$L$120,2,0)*'Parametros Generales'!$C$7*R791)*(2/3)</f>
        <v>1541801.9233013424</v>
      </c>
      <c r="Y791" s="417"/>
      <c r="Z791" s="417"/>
      <c r="AA791" s="417"/>
      <c r="AB791" s="417">
        <f>+M791*'Parametros Generales'!$C$6*'Parametros Generales'!$J$9</f>
        <v>3895272.7272727285</v>
      </c>
      <c r="AC791" s="417">
        <f>+H791*'Parametros Generales'!$J$10*'Parametros Generales'!$C$6*'Parametros Generales'!$C$11</f>
        <v>14738498.767401624</v>
      </c>
      <c r="AD791" s="417"/>
      <c r="AE791" s="417"/>
      <c r="AF791" s="417"/>
      <c r="AG791" s="417"/>
      <c r="AH791" s="417"/>
      <c r="AI791" s="417"/>
      <c r="AJ791" s="417"/>
      <c r="AK791" s="436"/>
      <c r="AL791" s="822"/>
    </row>
    <row r="792" spans="1:38" s="33" customFormat="1" hidden="1" outlineLevel="1">
      <c r="A792" s="1150"/>
      <c r="B792" s="821">
        <v>52</v>
      </c>
      <c r="C792" s="371" t="s">
        <v>484</v>
      </c>
      <c r="D792" s="31">
        <f>+VLOOKUP(E792,Codigos!$A$1:$B$1123,2,0)</f>
        <v>52399</v>
      </c>
      <c r="E792" s="1121" t="s">
        <v>2089</v>
      </c>
      <c r="F792" s="1103">
        <v>1</v>
      </c>
      <c r="G792" s="30">
        <v>396</v>
      </c>
      <c r="H792" s="1061">
        <f>CEILING(G792,'Parametros Generales'!$C$8)</f>
        <v>400</v>
      </c>
      <c r="I792" s="1085" t="s">
        <v>511</v>
      </c>
      <c r="J792" s="1058">
        <v>400</v>
      </c>
      <c r="K792" s="1070" t="str">
        <f t="shared" si="62"/>
        <v>Ok</v>
      </c>
      <c r="L792" s="1077">
        <f t="shared" si="63"/>
        <v>0</v>
      </c>
      <c r="M792" s="1090">
        <f>+H792/'Parametros Generales'!$C$8</f>
        <v>16</v>
      </c>
      <c r="N792" s="1097"/>
      <c r="O792" s="1097"/>
      <c r="P792" s="1097"/>
      <c r="Q792" s="1097"/>
      <c r="R792" s="1097">
        <f>+(M792/'Parametros Generales'!$C$9)</f>
        <v>4</v>
      </c>
      <c r="S792" s="390"/>
      <c r="T792" s="390"/>
      <c r="U792" s="390"/>
      <c r="V792" s="389"/>
      <c r="W792" s="32">
        <f>+R792*'Componentes T.H.'!$Q$9*'Parametros Generales'!$C$6</f>
        <v>20074028.284000002</v>
      </c>
      <c r="X792" s="32">
        <f>(+VLOOKUP(C792,'Transporte y Viaticos'!$B$87:$L$120,2,0)*'Parametros Generales'!$C$7*R792)*(2/3)</f>
        <v>3083603.8466026848</v>
      </c>
      <c r="Y792" s="417"/>
      <c r="Z792" s="417"/>
      <c r="AA792" s="417"/>
      <c r="AB792" s="417">
        <f>+M792*'Parametros Generales'!$C$6*'Parametros Generales'!$J$9</f>
        <v>7790545.4545454569</v>
      </c>
      <c r="AC792" s="417">
        <f>+H792*'Parametros Generales'!$J$10*'Parametros Generales'!$C$6*'Parametros Generales'!$C$11</f>
        <v>29476997.534803249</v>
      </c>
      <c r="AD792" s="417"/>
      <c r="AE792" s="417"/>
      <c r="AF792" s="417"/>
      <c r="AG792" s="417"/>
      <c r="AH792" s="417"/>
      <c r="AI792" s="417"/>
      <c r="AJ792" s="417"/>
      <c r="AK792" s="436"/>
      <c r="AL792" s="822"/>
    </row>
    <row r="793" spans="1:38" s="33" customFormat="1" hidden="1" outlineLevel="1">
      <c r="A793" s="1150"/>
      <c r="B793" s="821">
        <v>52</v>
      </c>
      <c r="C793" s="371" t="s">
        <v>484</v>
      </c>
      <c r="D793" s="31">
        <f>+VLOOKUP(E793,Codigos!$A$1:$B$1123,2,0)</f>
        <v>52405</v>
      </c>
      <c r="E793" s="1121" t="s">
        <v>2090</v>
      </c>
      <c r="F793" s="1103">
        <v>1</v>
      </c>
      <c r="G793" s="30">
        <v>198</v>
      </c>
      <c r="H793" s="1061">
        <f>CEILING(G793,'Parametros Generales'!$C$8)</f>
        <v>200</v>
      </c>
      <c r="I793" s="1085" t="s">
        <v>512</v>
      </c>
      <c r="J793" s="1058">
        <v>200</v>
      </c>
      <c r="K793" s="1070" t="str">
        <f t="shared" si="62"/>
        <v>Ok</v>
      </c>
      <c r="L793" s="1077">
        <f t="shared" si="63"/>
        <v>0</v>
      </c>
      <c r="M793" s="1090">
        <f>+H793/'Parametros Generales'!$C$8</f>
        <v>8</v>
      </c>
      <c r="N793" s="1097"/>
      <c r="O793" s="1097"/>
      <c r="P793" s="1097"/>
      <c r="Q793" s="1097"/>
      <c r="R793" s="1097">
        <f>+(M793/'Parametros Generales'!$C$9)</f>
        <v>2</v>
      </c>
      <c r="S793" s="390"/>
      <c r="T793" s="390"/>
      <c r="U793" s="390"/>
      <c r="V793" s="389"/>
      <c r="W793" s="32">
        <f>+R793*'Componentes T.H.'!$Q$9*'Parametros Generales'!$C$6</f>
        <v>10037014.142000001</v>
      </c>
      <c r="X793" s="32">
        <f>(+VLOOKUP(C793,'Transporte y Viaticos'!$B$87:$L$120,2,0)*'Parametros Generales'!$C$7*R793)*(2/3)</f>
        <v>1541801.9233013424</v>
      </c>
      <c r="Y793" s="417"/>
      <c r="Z793" s="417"/>
      <c r="AA793" s="417"/>
      <c r="AB793" s="417">
        <f>+M793*'Parametros Generales'!$C$6*'Parametros Generales'!$J$9</f>
        <v>3895272.7272727285</v>
      </c>
      <c r="AC793" s="417">
        <f>+H793*'Parametros Generales'!$J$10*'Parametros Generales'!$C$6*'Parametros Generales'!$C$11</f>
        <v>14738498.767401624</v>
      </c>
      <c r="AD793" s="417"/>
      <c r="AE793" s="417"/>
      <c r="AF793" s="417"/>
      <c r="AG793" s="417"/>
      <c r="AH793" s="417"/>
      <c r="AI793" s="417"/>
      <c r="AJ793" s="417"/>
      <c r="AK793" s="436"/>
      <c r="AL793" s="822"/>
    </row>
    <row r="794" spans="1:38" s="33" customFormat="1" hidden="1" outlineLevel="1">
      <c r="A794" s="1150"/>
      <c r="B794" s="821">
        <v>52</v>
      </c>
      <c r="C794" s="371" t="s">
        <v>484</v>
      </c>
      <c r="D794" s="31">
        <f>+VLOOKUP(E794,Codigos!$A$1:$B$1123,2,0)</f>
        <v>52411</v>
      </c>
      <c r="E794" s="1121" t="s">
        <v>2091</v>
      </c>
      <c r="F794" s="1103">
        <v>1</v>
      </c>
      <c r="G794" s="30">
        <v>198</v>
      </c>
      <c r="H794" s="1061">
        <f>CEILING(G794,'Parametros Generales'!$C$8)</f>
        <v>200</v>
      </c>
      <c r="I794" s="1085" t="s">
        <v>513</v>
      </c>
      <c r="J794" s="1058">
        <v>200</v>
      </c>
      <c r="K794" s="1070" t="str">
        <f t="shared" si="62"/>
        <v>Ok</v>
      </c>
      <c r="L794" s="1077">
        <f t="shared" si="63"/>
        <v>0</v>
      </c>
      <c r="M794" s="1090">
        <f>+H794/'Parametros Generales'!$C$8</f>
        <v>8</v>
      </c>
      <c r="N794" s="1097"/>
      <c r="O794" s="1097"/>
      <c r="P794" s="1097"/>
      <c r="Q794" s="1097"/>
      <c r="R794" s="1097">
        <f>+(M794/'Parametros Generales'!$C$9)</f>
        <v>2</v>
      </c>
      <c r="S794" s="390"/>
      <c r="T794" s="390"/>
      <c r="U794" s="390"/>
      <c r="V794" s="389"/>
      <c r="W794" s="32">
        <f>+R794*'Componentes T.H.'!$Q$9*'Parametros Generales'!$C$6</f>
        <v>10037014.142000001</v>
      </c>
      <c r="X794" s="32">
        <f>(+VLOOKUP(C794,'Transporte y Viaticos'!$B$87:$L$120,2,0)*'Parametros Generales'!$C$7*R794)*(2/3)</f>
        <v>1541801.9233013424</v>
      </c>
      <c r="Y794" s="417"/>
      <c r="Z794" s="417"/>
      <c r="AA794" s="417"/>
      <c r="AB794" s="417">
        <f>+M794*'Parametros Generales'!$C$6*'Parametros Generales'!$J$9</f>
        <v>3895272.7272727285</v>
      </c>
      <c r="AC794" s="417">
        <f>+H794*'Parametros Generales'!$J$10*'Parametros Generales'!$C$6*'Parametros Generales'!$C$11</f>
        <v>14738498.767401624</v>
      </c>
      <c r="AD794" s="417"/>
      <c r="AE794" s="417"/>
      <c r="AF794" s="417"/>
      <c r="AG794" s="417"/>
      <c r="AH794" s="417"/>
      <c r="AI794" s="417"/>
      <c r="AJ794" s="417"/>
      <c r="AK794" s="436"/>
      <c r="AL794" s="822"/>
    </row>
    <row r="795" spans="1:38" s="33" customFormat="1" hidden="1" outlineLevel="1">
      <c r="A795" s="1150"/>
      <c r="B795" s="821">
        <v>52</v>
      </c>
      <c r="C795" s="371" t="s">
        <v>484</v>
      </c>
      <c r="D795" s="31">
        <f>+VLOOKUP(E795,Codigos!$A$1:$B$1123,2,0)</f>
        <v>52418</v>
      </c>
      <c r="E795" s="1121" t="s">
        <v>2092</v>
      </c>
      <c r="F795" s="1103">
        <v>1</v>
      </c>
      <c r="G795" s="30">
        <v>198</v>
      </c>
      <c r="H795" s="1061">
        <f>CEILING(G795,'Parametros Generales'!$C$8)</f>
        <v>200</v>
      </c>
      <c r="I795" s="1085" t="s">
        <v>514</v>
      </c>
      <c r="J795" s="1058">
        <v>200</v>
      </c>
      <c r="K795" s="1070" t="str">
        <f t="shared" si="62"/>
        <v>Ok</v>
      </c>
      <c r="L795" s="1077">
        <f t="shared" si="63"/>
        <v>0</v>
      </c>
      <c r="M795" s="1090">
        <f>+H795/'Parametros Generales'!$C$8</f>
        <v>8</v>
      </c>
      <c r="N795" s="1097"/>
      <c r="O795" s="1097"/>
      <c r="P795" s="1097"/>
      <c r="Q795" s="1097"/>
      <c r="R795" s="1097">
        <f>+(M795/'Parametros Generales'!$C$9)</f>
        <v>2</v>
      </c>
      <c r="S795" s="390"/>
      <c r="T795" s="390"/>
      <c r="U795" s="390"/>
      <c r="V795" s="389"/>
      <c r="W795" s="32">
        <f>+R795*'Componentes T.H.'!$Q$9*'Parametros Generales'!$C$6</f>
        <v>10037014.142000001</v>
      </c>
      <c r="X795" s="32">
        <f>(+VLOOKUP(C795,'Transporte y Viaticos'!$B$87:$L$120,2,0)*'Parametros Generales'!$C$7*R795)*(2/3)</f>
        <v>1541801.9233013424</v>
      </c>
      <c r="Y795" s="417"/>
      <c r="Z795" s="417"/>
      <c r="AA795" s="417"/>
      <c r="AB795" s="417">
        <f>+M795*'Parametros Generales'!$C$6*'Parametros Generales'!$J$9</f>
        <v>3895272.7272727285</v>
      </c>
      <c r="AC795" s="417">
        <f>+H795*'Parametros Generales'!$J$10*'Parametros Generales'!$C$6*'Parametros Generales'!$C$11</f>
        <v>14738498.767401624</v>
      </c>
      <c r="AD795" s="417"/>
      <c r="AE795" s="417"/>
      <c r="AF795" s="417"/>
      <c r="AG795" s="417"/>
      <c r="AH795" s="417"/>
      <c r="AI795" s="417"/>
      <c r="AJ795" s="417"/>
      <c r="AK795" s="436"/>
      <c r="AL795" s="822"/>
    </row>
    <row r="796" spans="1:38" s="33" customFormat="1" hidden="1" outlineLevel="1">
      <c r="A796" s="1150"/>
      <c r="B796" s="821">
        <v>52</v>
      </c>
      <c r="C796" s="371" t="s">
        <v>484</v>
      </c>
      <c r="D796" s="31">
        <f>+VLOOKUP(E796,Codigos!$A$1:$B$1123,2,0)</f>
        <v>52427</v>
      </c>
      <c r="E796" s="1121" t="s">
        <v>2093</v>
      </c>
      <c r="F796" s="1103">
        <v>1</v>
      </c>
      <c r="G796" s="30">
        <v>198</v>
      </c>
      <c r="H796" s="1061">
        <f>CEILING(G796,'Parametros Generales'!$C$8)</f>
        <v>200</v>
      </c>
      <c r="I796" s="1085" t="s">
        <v>515</v>
      </c>
      <c r="J796" s="1058">
        <v>200</v>
      </c>
      <c r="K796" s="1070" t="str">
        <f t="shared" si="62"/>
        <v>Ok</v>
      </c>
      <c r="L796" s="1077">
        <f t="shared" si="63"/>
        <v>0</v>
      </c>
      <c r="M796" s="1090">
        <f>+H796/'Parametros Generales'!$C$8</f>
        <v>8</v>
      </c>
      <c r="N796" s="1097"/>
      <c r="O796" s="1097"/>
      <c r="P796" s="1097"/>
      <c r="Q796" s="1097"/>
      <c r="R796" s="1097">
        <f>+(M796/'Parametros Generales'!$C$9)</f>
        <v>2</v>
      </c>
      <c r="S796" s="390"/>
      <c r="T796" s="390"/>
      <c r="U796" s="390"/>
      <c r="V796" s="389"/>
      <c r="W796" s="32">
        <f>+R796*'Componentes T.H.'!$Q$9*'Parametros Generales'!$C$6</f>
        <v>10037014.142000001</v>
      </c>
      <c r="X796" s="32">
        <f>(+VLOOKUP(C796,'Transporte y Viaticos'!$B$87:$L$120,2,0)*'Parametros Generales'!$C$7*R796)*(2/3)</f>
        <v>1541801.9233013424</v>
      </c>
      <c r="Y796" s="417"/>
      <c r="Z796" s="417"/>
      <c r="AA796" s="417"/>
      <c r="AB796" s="417">
        <f>+M796*'Parametros Generales'!$C$6*'Parametros Generales'!$J$9</f>
        <v>3895272.7272727285</v>
      </c>
      <c r="AC796" s="417">
        <f>+H796*'Parametros Generales'!$J$10*'Parametros Generales'!$C$6*'Parametros Generales'!$C$11</f>
        <v>14738498.767401624</v>
      </c>
      <c r="AD796" s="417"/>
      <c r="AE796" s="417"/>
      <c r="AF796" s="417"/>
      <c r="AG796" s="417"/>
      <c r="AH796" s="417"/>
      <c r="AI796" s="417"/>
      <c r="AJ796" s="417"/>
      <c r="AK796" s="436"/>
      <c r="AL796" s="822"/>
    </row>
    <row r="797" spans="1:38" s="33" customFormat="1" hidden="1" outlineLevel="1">
      <c r="A797" s="1150"/>
      <c r="B797" s="821">
        <v>52</v>
      </c>
      <c r="C797" s="371" t="s">
        <v>484</v>
      </c>
      <c r="D797" s="31">
        <f>+VLOOKUP(E797,Codigos!$A$1:$B$1123,2,0)</f>
        <v>52435</v>
      </c>
      <c r="E797" s="1121" t="s">
        <v>2094</v>
      </c>
      <c r="F797" s="1103">
        <v>1</v>
      </c>
      <c r="G797" s="30">
        <v>198</v>
      </c>
      <c r="H797" s="1061">
        <f>CEILING(G797,'Parametros Generales'!$C$8)</f>
        <v>200</v>
      </c>
      <c r="I797" s="1085" t="s">
        <v>516</v>
      </c>
      <c r="J797" s="1058">
        <v>200</v>
      </c>
      <c r="K797" s="1070" t="str">
        <f t="shared" si="62"/>
        <v>Ok</v>
      </c>
      <c r="L797" s="1077">
        <f t="shared" si="63"/>
        <v>0</v>
      </c>
      <c r="M797" s="1090">
        <f>+H797/'Parametros Generales'!$C$8</f>
        <v>8</v>
      </c>
      <c r="N797" s="1097"/>
      <c r="O797" s="1097"/>
      <c r="P797" s="1097"/>
      <c r="Q797" s="1097"/>
      <c r="R797" s="1097">
        <f>+(M797/'Parametros Generales'!$C$9)</f>
        <v>2</v>
      </c>
      <c r="S797" s="390"/>
      <c r="T797" s="390"/>
      <c r="U797" s="390"/>
      <c r="V797" s="389"/>
      <c r="W797" s="32">
        <f>+R797*'Componentes T.H.'!$Q$9*'Parametros Generales'!$C$6</f>
        <v>10037014.142000001</v>
      </c>
      <c r="X797" s="32">
        <f>(+VLOOKUP(C797,'Transporte y Viaticos'!$B$87:$L$120,2,0)*'Parametros Generales'!$C$7*R797)*(2/3)</f>
        <v>1541801.9233013424</v>
      </c>
      <c r="Y797" s="417"/>
      <c r="Z797" s="417"/>
      <c r="AA797" s="417"/>
      <c r="AB797" s="417">
        <f>+M797*'Parametros Generales'!$C$6*'Parametros Generales'!$J$9</f>
        <v>3895272.7272727285</v>
      </c>
      <c r="AC797" s="417">
        <f>+H797*'Parametros Generales'!$J$10*'Parametros Generales'!$C$6*'Parametros Generales'!$C$11</f>
        <v>14738498.767401624</v>
      </c>
      <c r="AD797" s="417"/>
      <c r="AE797" s="417"/>
      <c r="AF797" s="417"/>
      <c r="AG797" s="417"/>
      <c r="AH797" s="417"/>
      <c r="AI797" s="417"/>
      <c r="AJ797" s="417"/>
      <c r="AK797" s="436"/>
      <c r="AL797" s="822"/>
    </row>
    <row r="798" spans="1:38" s="33" customFormat="1" hidden="1" outlineLevel="1">
      <c r="A798" s="1150"/>
      <c r="B798" s="821">
        <v>52</v>
      </c>
      <c r="C798" s="371" t="s">
        <v>484</v>
      </c>
      <c r="D798" s="31">
        <f>+VLOOKUP(E798,Codigos!$A$1:$B$1123,2,0)</f>
        <v>52473</v>
      </c>
      <c r="E798" s="1121" t="s">
        <v>2095</v>
      </c>
      <c r="F798" s="1103">
        <v>1</v>
      </c>
      <c r="G798" s="30">
        <v>198</v>
      </c>
      <c r="H798" s="1061">
        <f>CEILING(G798,'Parametros Generales'!$C$8)</f>
        <v>200</v>
      </c>
      <c r="I798" s="1085" t="s">
        <v>517</v>
      </c>
      <c r="J798" s="1058">
        <v>200</v>
      </c>
      <c r="K798" s="1070" t="str">
        <f t="shared" si="62"/>
        <v>Ok</v>
      </c>
      <c r="L798" s="1077">
        <f t="shared" si="63"/>
        <v>0</v>
      </c>
      <c r="M798" s="1090">
        <f>+H798/'Parametros Generales'!$C$8</f>
        <v>8</v>
      </c>
      <c r="N798" s="1097"/>
      <c r="O798" s="1097"/>
      <c r="P798" s="1097"/>
      <c r="Q798" s="1097"/>
      <c r="R798" s="1097">
        <f>+(M798/'Parametros Generales'!$C$9)</f>
        <v>2</v>
      </c>
      <c r="S798" s="390"/>
      <c r="T798" s="390"/>
      <c r="U798" s="390"/>
      <c r="V798" s="389"/>
      <c r="W798" s="32">
        <f>+R798*'Componentes T.H.'!$Q$9*'Parametros Generales'!$C$6</f>
        <v>10037014.142000001</v>
      </c>
      <c r="X798" s="32">
        <f>(+VLOOKUP(C798,'Transporte y Viaticos'!$B$87:$L$120,2,0)*'Parametros Generales'!$C$7*R798)*(2/3)</f>
        <v>1541801.9233013424</v>
      </c>
      <c r="Y798" s="417"/>
      <c r="Z798" s="417"/>
      <c r="AA798" s="417"/>
      <c r="AB798" s="417">
        <f>+M798*'Parametros Generales'!$C$6*'Parametros Generales'!$J$9</f>
        <v>3895272.7272727285</v>
      </c>
      <c r="AC798" s="417">
        <f>+H798*'Parametros Generales'!$J$10*'Parametros Generales'!$C$6*'Parametros Generales'!$C$11</f>
        <v>14738498.767401624</v>
      </c>
      <c r="AD798" s="417"/>
      <c r="AE798" s="417"/>
      <c r="AF798" s="417"/>
      <c r="AG798" s="417"/>
      <c r="AH798" s="417"/>
      <c r="AI798" s="417"/>
      <c r="AJ798" s="417"/>
      <c r="AK798" s="436"/>
      <c r="AL798" s="822"/>
    </row>
    <row r="799" spans="1:38" s="33" customFormat="1" hidden="1" outlineLevel="1">
      <c r="A799" s="1150"/>
      <c r="B799" s="821">
        <v>52</v>
      </c>
      <c r="C799" s="371" t="s">
        <v>484</v>
      </c>
      <c r="D799" s="31">
        <f>+VLOOKUP(E799,Codigos!$A$1:$B$1123,2,0)</f>
        <v>52480</v>
      </c>
      <c r="E799" s="1121" t="s">
        <v>2096</v>
      </c>
      <c r="F799" s="1103">
        <v>1</v>
      </c>
      <c r="G799" s="30">
        <v>198</v>
      </c>
      <c r="H799" s="1061">
        <f>CEILING(G799,'Parametros Generales'!$C$8)</f>
        <v>200</v>
      </c>
      <c r="I799" s="1085" t="s">
        <v>518</v>
      </c>
      <c r="J799" s="1058">
        <v>200</v>
      </c>
      <c r="K799" s="1070" t="str">
        <f t="shared" si="62"/>
        <v>Ok</v>
      </c>
      <c r="L799" s="1077">
        <f t="shared" si="63"/>
        <v>0</v>
      </c>
      <c r="M799" s="1090">
        <f>+H799/'Parametros Generales'!$C$8</f>
        <v>8</v>
      </c>
      <c r="N799" s="1097"/>
      <c r="O799" s="1097"/>
      <c r="P799" s="1097"/>
      <c r="Q799" s="1097"/>
      <c r="R799" s="1097">
        <f>+(M799/'Parametros Generales'!$C$9)</f>
        <v>2</v>
      </c>
      <c r="S799" s="390"/>
      <c r="T799" s="390"/>
      <c r="U799" s="390"/>
      <c r="V799" s="389"/>
      <c r="W799" s="32">
        <f>+R799*'Componentes T.H.'!$Q$9*'Parametros Generales'!$C$6</f>
        <v>10037014.142000001</v>
      </c>
      <c r="X799" s="32">
        <f>(+VLOOKUP(C799,'Transporte y Viaticos'!$B$87:$L$120,2,0)*'Parametros Generales'!$C$7*R799)*(2/3)</f>
        <v>1541801.9233013424</v>
      </c>
      <c r="Y799" s="417"/>
      <c r="Z799" s="417"/>
      <c r="AA799" s="417"/>
      <c r="AB799" s="417">
        <f>+M799*'Parametros Generales'!$C$6*'Parametros Generales'!$J$9</f>
        <v>3895272.7272727285</v>
      </c>
      <c r="AC799" s="417">
        <f>+H799*'Parametros Generales'!$J$10*'Parametros Generales'!$C$6*'Parametros Generales'!$C$11</f>
        <v>14738498.767401624</v>
      </c>
      <c r="AD799" s="417"/>
      <c r="AE799" s="417"/>
      <c r="AF799" s="417"/>
      <c r="AG799" s="417"/>
      <c r="AH799" s="417"/>
      <c r="AI799" s="417"/>
      <c r="AJ799" s="417"/>
      <c r="AK799" s="436"/>
      <c r="AL799" s="822"/>
    </row>
    <row r="800" spans="1:38" s="33" customFormat="1" hidden="1" outlineLevel="1">
      <c r="A800" s="1150"/>
      <c r="B800" s="821">
        <v>52</v>
      </c>
      <c r="C800" s="371" t="s">
        <v>484</v>
      </c>
      <c r="D800" s="31">
        <f>+VLOOKUP(E800,Codigos!$A$1:$B$1123,2,0)</f>
        <v>52490</v>
      </c>
      <c r="E800" s="1121" t="s">
        <v>2097</v>
      </c>
      <c r="F800" s="1103">
        <v>1</v>
      </c>
      <c r="G800" s="30">
        <v>198</v>
      </c>
      <c r="H800" s="1061">
        <f>CEILING(G800,'Parametros Generales'!$C$8)</f>
        <v>200</v>
      </c>
      <c r="I800" s="1085" t="s">
        <v>519</v>
      </c>
      <c r="J800" s="1058">
        <v>200</v>
      </c>
      <c r="K800" s="1070" t="str">
        <f t="shared" si="62"/>
        <v>Ok</v>
      </c>
      <c r="L800" s="1077">
        <f t="shared" si="63"/>
        <v>0</v>
      </c>
      <c r="M800" s="1090">
        <f>+H800/'Parametros Generales'!$C$8</f>
        <v>8</v>
      </c>
      <c r="N800" s="1097"/>
      <c r="O800" s="1097"/>
      <c r="P800" s="1097"/>
      <c r="Q800" s="1097"/>
      <c r="R800" s="1097">
        <f>+(M800/'Parametros Generales'!$C$9)</f>
        <v>2</v>
      </c>
      <c r="S800" s="390"/>
      <c r="T800" s="390"/>
      <c r="U800" s="390"/>
      <c r="V800" s="389"/>
      <c r="W800" s="32">
        <f>+R800*'Componentes T.H.'!$Q$9*'Parametros Generales'!$C$6</f>
        <v>10037014.142000001</v>
      </c>
      <c r="X800" s="32">
        <f>(+VLOOKUP(C800,'Transporte y Viaticos'!$B$87:$L$120,2,0)*'Parametros Generales'!$C$7*R800)*(2/3)</f>
        <v>1541801.9233013424</v>
      </c>
      <c r="Y800" s="417"/>
      <c r="Z800" s="417"/>
      <c r="AA800" s="417"/>
      <c r="AB800" s="417">
        <f>+M800*'Parametros Generales'!$C$6*'Parametros Generales'!$J$9</f>
        <v>3895272.7272727285</v>
      </c>
      <c r="AC800" s="417">
        <f>+H800*'Parametros Generales'!$J$10*'Parametros Generales'!$C$6*'Parametros Generales'!$C$11</f>
        <v>14738498.767401624</v>
      </c>
      <c r="AD800" s="417"/>
      <c r="AE800" s="417"/>
      <c r="AF800" s="417"/>
      <c r="AG800" s="417"/>
      <c r="AH800" s="417"/>
      <c r="AI800" s="417"/>
      <c r="AJ800" s="417"/>
      <c r="AK800" s="436"/>
      <c r="AL800" s="822"/>
    </row>
    <row r="801" spans="1:38" s="33" customFormat="1" hidden="1" outlineLevel="1">
      <c r="A801" s="1150"/>
      <c r="B801" s="821">
        <v>52</v>
      </c>
      <c r="C801" s="371" t="s">
        <v>484</v>
      </c>
      <c r="D801" s="31">
        <f>+VLOOKUP(E801,Codigos!$A$1:$B$1123,2,0)</f>
        <v>52506</v>
      </c>
      <c r="E801" s="1121" t="s">
        <v>2098</v>
      </c>
      <c r="F801" s="1103">
        <v>1</v>
      </c>
      <c r="G801" s="30">
        <v>198</v>
      </c>
      <c r="H801" s="1061">
        <f>CEILING(G801,'Parametros Generales'!$C$8)</f>
        <v>200</v>
      </c>
      <c r="I801" s="1085" t="s">
        <v>520</v>
      </c>
      <c r="J801" s="1058">
        <v>200</v>
      </c>
      <c r="K801" s="1070" t="str">
        <f t="shared" si="62"/>
        <v>Ok</v>
      </c>
      <c r="L801" s="1077">
        <f t="shared" si="63"/>
        <v>0</v>
      </c>
      <c r="M801" s="1090">
        <f>+H801/'Parametros Generales'!$C$8</f>
        <v>8</v>
      </c>
      <c r="N801" s="1097"/>
      <c r="O801" s="1097"/>
      <c r="P801" s="1097"/>
      <c r="Q801" s="1097"/>
      <c r="R801" s="1097">
        <f>+(M801/'Parametros Generales'!$C$9)</f>
        <v>2</v>
      </c>
      <c r="S801" s="390"/>
      <c r="T801" s="390"/>
      <c r="U801" s="390"/>
      <c r="V801" s="389"/>
      <c r="W801" s="32">
        <f>+R801*'Componentes T.H.'!$Q$9*'Parametros Generales'!$C$6</f>
        <v>10037014.142000001</v>
      </c>
      <c r="X801" s="32">
        <f>(+VLOOKUP(C801,'Transporte y Viaticos'!$B$87:$L$120,2,0)*'Parametros Generales'!$C$7*R801)*(2/3)</f>
        <v>1541801.9233013424</v>
      </c>
      <c r="Y801" s="417"/>
      <c r="Z801" s="417"/>
      <c r="AA801" s="417"/>
      <c r="AB801" s="417">
        <f>+M801*'Parametros Generales'!$C$6*'Parametros Generales'!$J$9</f>
        <v>3895272.7272727285</v>
      </c>
      <c r="AC801" s="417">
        <f>+H801*'Parametros Generales'!$J$10*'Parametros Generales'!$C$6*'Parametros Generales'!$C$11</f>
        <v>14738498.767401624</v>
      </c>
      <c r="AD801" s="417"/>
      <c r="AE801" s="417"/>
      <c r="AF801" s="417"/>
      <c r="AG801" s="417"/>
      <c r="AH801" s="417"/>
      <c r="AI801" s="417"/>
      <c r="AJ801" s="417"/>
      <c r="AK801" s="436"/>
      <c r="AL801" s="822"/>
    </row>
    <row r="802" spans="1:38" s="33" customFormat="1" hidden="1" outlineLevel="1">
      <c r="A802" s="1150"/>
      <c r="B802" s="821">
        <v>52</v>
      </c>
      <c r="C802" s="371" t="s">
        <v>484</v>
      </c>
      <c r="D802" s="31">
        <f>+VLOOKUP(E802,Codigos!$A$1:$B$1123,2,0)</f>
        <v>52540</v>
      </c>
      <c r="E802" s="1121" t="s">
        <v>2099</v>
      </c>
      <c r="F802" s="1103">
        <v>1</v>
      </c>
      <c r="G802" s="30">
        <v>198</v>
      </c>
      <c r="H802" s="1061">
        <f>CEILING(G802,'Parametros Generales'!$C$8)</f>
        <v>200</v>
      </c>
      <c r="I802" s="1085" t="s">
        <v>521</v>
      </c>
      <c r="J802" s="1058">
        <v>200</v>
      </c>
      <c r="K802" s="1070" t="str">
        <f t="shared" si="62"/>
        <v>Ok</v>
      </c>
      <c r="L802" s="1077">
        <f t="shared" si="63"/>
        <v>0</v>
      </c>
      <c r="M802" s="1090">
        <f>+H802/'Parametros Generales'!$C$8</f>
        <v>8</v>
      </c>
      <c r="N802" s="1097"/>
      <c r="O802" s="1097"/>
      <c r="P802" s="1097"/>
      <c r="Q802" s="1097"/>
      <c r="R802" s="1097">
        <f>+(M802/'Parametros Generales'!$C$9)</f>
        <v>2</v>
      </c>
      <c r="S802" s="390"/>
      <c r="T802" s="390"/>
      <c r="U802" s="390"/>
      <c r="V802" s="389"/>
      <c r="W802" s="32">
        <f>+R802*'Componentes T.H.'!$Q$9*'Parametros Generales'!$C$6</f>
        <v>10037014.142000001</v>
      </c>
      <c r="X802" s="32">
        <f>(+VLOOKUP(C802,'Transporte y Viaticos'!$B$87:$L$120,2,0)*'Parametros Generales'!$C$7*R802)*(2/3)</f>
        <v>1541801.9233013424</v>
      </c>
      <c r="Y802" s="417"/>
      <c r="Z802" s="417"/>
      <c r="AA802" s="417"/>
      <c r="AB802" s="417">
        <f>+M802*'Parametros Generales'!$C$6*'Parametros Generales'!$J$9</f>
        <v>3895272.7272727285</v>
      </c>
      <c r="AC802" s="417">
        <f>+H802*'Parametros Generales'!$J$10*'Parametros Generales'!$C$6*'Parametros Generales'!$C$11</f>
        <v>14738498.767401624</v>
      </c>
      <c r="AD802" s="417"/>
      <c r="AE802" s="417"/>
      <c r="AF802" s="417"/>
      <c r="AG802" s="417"/>
      <c r="AH802" s="417"/>
      <c r="AI802" s="417"/>
      <c r="AJ802" s="417"/>
      <c r="AK802" s="436"/>
      <c r="AL802" s="822"/>
    </row>
    <row r="803" spans="1:38" s="33" customFormat="1" hidden="1" outlineLevel="1">
      <c r="A803" s="1150"/>
      <c r="B803" s="821">
        <v>52</v>
      </c>
      <c r="C803" s="371" t="s">
        <v>484</v>
      </c>
      <c r="D803" s="31">
        <f>+VLOOKUP(E803,Codigos!$A$1:$B$1123,2,0)</f>
        <v>52560</v>
      </c>
      <c r="E803" s="1121" t="s">
        <v>2100</v>
      </c>
      <c r="F803" s="1103">
        <v>1</v>
      </c>
      <c r="G803" s="30">
        <v>198</v>
      </c>
      <c r="H803" s="1061">
        <f>CEILING(G803,'Parametros Generales'!$C$8)</f>
        <v>200</v>
      </c>
      <c r="I803" s="1085" t="s">
        <v>522</v>
      </c>
      <c r="J803" s="1058">
        <v>200</v>
      </c>
      <c r="K803" s="1070" t="str">
        <f t="shared" si="62"/>
        <v>Ok</v>
      </c>
      <c r="L803" s="1077">
        <f t="shared" si="63"/>
        <v>0</v>
      </c>
      <c r="M803" s="1090">
        <f>+H803/'Parametros Generales'!$C$8</f>
        <v>8</v>
      </c>
      <c r="N803" s="1097"/>
      <c r="O803" s="1097"/>
      <c r="P803" s="1097"/>
      <c r="Q803" s="1097"/>
      <c r="R803" s="1097">
        <f>+(M803/'Parametros Generales'!$C$9)</f>
        <v>2</v>
      </c>
      <c r="S803" s="390"/>
      <c r="T803" s="390"/>
      <c r="U803" s="390"/>
      <c r="V803" s="389"/>
      <c r="W803" s="32">
        <f>+R803*'Componentes T.H.'!$Q$9*'Parametros Generales'!$C$6</f>
        <v>10037014.142000001</v>
      </c>
      <c r="X803" s="32">
        <f>(+VLOOKUP(C803,'Transporte y Viaticos'!$B$87:$L$120,2,0)*'Parametros Generales'!$C$7*R803)*(2/3)</f>
        <v>1541801.9233013424</v>
      </c>
      <c r="Y803" s="417"/>
      <c r="Z803" s="417"/>
      <c r="AA803" s="417"/>
      <c r="AB803" s="417">
        <f>+M803*'Parametros Generales'!$C$6*'Parametros Generales'!$J$9</f>
        <v>3895272.7272727285</v>
      </c>
      <c r="AC803" s="417">
        <f>+H803*'Parametros Generales'!$J$10*'Parametros Generales'!$C$6*'Parametros Generales'!$C$11</f>
        <v>14738498.767401624</v>
      </c>
      <c r="AD803" s="417"/>
      <c r="AE803" s="417"/>
      <c r="AF803" s="417"/>
      <c r="AG803" s="417"/>
      <c r="AH803" s="417"/>
      <c r="AI803" s="417"/>
      <c r="AJ803" s="417"/>
      <c r="AK803" s="436"/>
      <c r="AL803" s="822"/>
    </row>
    <row r="804" spans="1:38" s="33" customFormat="1" hidden="1" outlineLevel="1">
      <c r="A804" s="1150"/>
      <c r="B804" s="821">
        <v>52</v>
      </c>
      <c r="C804" s="371" t="s">
        <v>484</v>
      </c>
      <c r="D804" s="31">
        <f>+VLOOKUP(E804,Codigos!$A$1:$B$1123,2,0)</f>
        <v>52565</v>
      </c>
      <c r="E804" s="1121" t="s">
        <v>2101</v>
      </c>
      <c r="F804" s="1103">
        <v>1</v>
      </c>
      <c r="G804" s="30">
        <v>198</v>
      </c>
      <c r="H804" s="1061">
        <f>CEILING(G804,'Parametros Generales'!$C$8)</f>
        <v>200</v>
      </c>
      <c r="I804" s="1085" t="s">
        <v>523</v>
      </c>
      <c r="J804" s="1058">
        <v>200</v>
      </c>
      <c r="K804" s="1070" t="str">
        <f t="shared" si="62"/>
        <v>Ok</v>
      </c>
      <c r="L804" s="1077">
        <f t="shared" si="63"/>
        <v>0</v>
      </c>
      <c r="M804" s="1090">
        <f>+H804/'Parametros Generales'!$C$8</f>
        <v>8</v>
      </c>
      <c r="N804" s="1097"/>
      <c r="O804" s="1097"/>
      <c r="P804" s="1097"/>
      <c r="Q804" s="1097"/>
      <c r="R804" s="1097">
        <f>+(M804/'Parametros Generales'!$C$9)</f>
        <v>2</v>
      </c>
      <c r="S804" s="390"/>
      <c r="T804" s="390"/>
      <c r="U804" s="390"/>
      <c r="V804" s="389"/>
      <c r="W804" s="32">
        <f>+R804*'Componentes T.H.'!$Q$9*'Parametros Generales'!$C$6</f>
        <v>10037014.142000001</v>
      </c>
      <c r="X804" s="32">
        <f>(+VLOOKUP(C804,'Transporte y Viaticos'!$B$87:$L$120,2,0)*'Parametros Generales'!$C$7*R804)*(2/3)</f>
        <v>1541801.9233013424</v>
      </c>
      <c r="Y804" s="417"/>
      <c r="Z804" s="417"/>
      <c r="AA804" s="417"/>
      <c r="AB804" s="417">
        <f>+M804*'Parametros Generales'!$C$6*'Parametros Generales'!$J$9</f>
        <v>3895272.7272727285</v>
      </c>
      <c r="AC804" s="417">
        <f>+H804*'Parametros Generales'!$J$10*'Parametros Generales'!$C$6*'Parametros Generales'!$C$11</f>
        <v>14738498.767401624</v>
      </c>
      <c r="AD804" s="417"/>
      <c r="AE804" s="417"/>
      <c r="AF804" s="417"/>
      <c r="AG804" s="417"/>
      <c r="AH804" s="417"/>
      <c r="AI804" s="417"/>
      <c r="AJ804" s="417"/>
      <c r="AK804" s="436"/>
      <c r="AL804" s="822"/>
    </row>
    <row r="805" spans="1:38" s="33" customFormat="1" hidden="1" outlineLevel="1">
      <c r="A805" s="1150"/>
      <c r="B805" s="821">
        <v>52</v>
      </c>
      <c r="C805" s="371" t="s">
        <v>484</v>
      </c>
      <c r="D805" s="31">
        <f>+VLOOKUP(E805,Codigos!$A$1:$B$1123,2,0)</f>
        <v>52573</v>
      </c>
      <c r="E805" s="1121" t="s">
        <v>2102</v>
      </c>
      <c r="F805" s="1103">
        <v>1</v>
      </c>
      <c r="G805" s="30">
        <v>198</v>
      </c>
      <c r="H805" s="1061">
        <f>CEILING(G805,'Parametros Generales'!$C$8)</f>
        <v>200</v>
      </c>
      <c r="I805" s="1085" t="s">
        <v>524</v>
      </c>
      <c r="J805" s="1058">
        <v>200</v>
      </c>
      <c r="K805" s="1070" t="str">
        <f t="shared" si="62"/>
        <v>Ok</v>
      </c>
      <c r="L805" s="1077">
        <f t="shared" si="63"/>
        <v>0</v>
      </c>
      <c r="M805" s="1090">
        <f>+H805/'Parametros Generales'!$C$8</f>
        <v>8</v>
      </c>
      <c r="N805" s="1097"/>
      <c r="O805" s="1097"/>
      <c r="P805" s="1097"/>
      <c r="Q805" s="1097"/>
      <c r="R805" s="1097">
        <f>+(M805/'Parametros Generales'!$C$9)</f>
        <v>2</v>
      </c>
      <c r="S805" s="390"/>
      <c r="T805" s="390"/>
      <c r="U805" s="390"/>
      <c r="V805" s="389"/>
      <c r="W805" s="32">
        <f>+R805*'Componentes T.H.'!$Q$9*'Parametros Generales'!$C$6</f>
        <v>10037014.142000001</v>
      </c>
      <c r="X805" s="32">
        <f>(+VLOOKUP(C805,'Transporte y Viaticos'!$B$87:$L$120,2,0)*'Parametros Generales'!$C$7*R805)*(2/3)</f>
        <v>1541801.9233013424</v>
      </c>
      <c r="Y805" s="417"/>
      <c r="Z805" s="417"/>
      <c r="AA805" s="417"/>
      <c r="AB805" s="417">
        <f>+M805*'Parametros Generales'!$C$6*'Parametros Generales'!$J$9</f>
        <v>3895272.7272727285</v>
      </c>
      <c r="AC805" s="417">
        <f>+H805*'Parametros Generales'!$J$10*'Parametros Generales'!$C$6*'Parametros Generales'!$C$11</f>
        <v>14738498.767401624</v>
      </c>
      <c r="AD805" s="417"/>
      <c r="AE805" s="417"/>
      <c r="AF805" s="417"/>
      <c r="AG805" s="417"/>
      <c r="AH805" s="417"/>
      <c r="AI805" s="417"/>
      <c r="AJ805" s="417"/>
      <c r="AK805" s="436"/>
      <c r="AL805" s="822"/>
    </row>
    <row r="806" spans="1:38" s="33" customFormat="1" hidden="1" outlineLevel="1">
      <c r="A806" s="1150"/>
      <c r="B806" s="821">
        <v>52</v>
      </c>
      <c r="C806" s="371" t="s">
        <v>484</v>
      </c>
      <c r="D806" s="31">
        <f>+VLOOKUP(E806,Codigos!$A$1:$B$1123,2,0)</f>
        <v>52585</v>
      </c>
      <c r="E806" s="1121" t="s">
        <v>2103</v>
      </c>
      <c r="F806" s="1103">
        <v>1</v>
      </c>
      <c r="G806" s="30">
        <v>198</v>
      </c>
      <c r="H806" s="1061">
        <f>CEILING(G806,'Parametros Generales'!$C$8)</f>
        <v>200</v>
      </c>
      <c r="I806" s="1085" t="s">
        <v>525</v>
      </c>
      <c r="J806" s="1058">
        <v>200</v>
      </c>
      <c r="K806" s="1070" t="str">
        <f t="shared" si="62"/>
        <v>Ok</v>
      </c>
      <c r="L806" s="1077">
        <f t="shared" si="63"/>
        <v>0</v>
      </c>
      <c r="M806" s="1090">
        <f>+H806/'Parametros Generales'!$C$8</f>
        <v>8</v>
      </c>
      <c r="N806" s="1097"/>
      <c r="O806" s="1097"/>
      <c r="P806" s="1097"/>
      <c r="Q806" s="1097"/>
      <c r="R806" s="1097">
        <f>+(M806/'Parametros Generales'!$C$9)</f>
        <v>2</v>
      </c>
      <c r="S806" s="390"/>
      <c r="T806" s="390"/>
      <c r="U806" s="390"/>
      <c r="V806" s="389"/>
      <c r="W806" s="32">
        <f>+R806*'Componentes T.H.'!$Q$9*'Parametros Generales'!$C$6</f>
        <v>10037014.142000001</v>
      </c>
      <c r="X806" s="32">
        <f>(+VLOOKUP(C806,'Transporte y Viaticos'!$B$87:$L$120,2,0)*'Parametros Generales'!$C$7*R806)*(2/3)</f>
        <v>1541801.9233013424</v>
      </c>
      <c r="Y806" s="417"/>
      <c r="Z806" s="417"/>
      <c r="AA806" s="417"/>
      <c r="AB806" s="417">
        <f>+M806*'Parametros Generales'!$C$6*'Parametros Generales'!$J$9</f>
        <v>3895272.7272727285</v>
      </c>
      <c r="AC806" s="417">
        <f>+H806*'Parametros Generales'!$J$10*'Parametros Generales'!$C$6*'Parametros Generales'!$C$11</f>
        <v>14738498.767401624</v>
      </c>
      <c r="AD806" s="417"/>
      <c r="AE806" s="417"/>
      <c r="AF806" s="417"/>
      <c r="AG806" s="417"/>
      <c r="AH806" s="417"/>
      <c r="AI806" s="417"/>
      <c r="AJ806" s="417"/>
      <c r="AK806" s="436"/>
      <c r="AL806" s="822"/>
    </row>
    <row r="807" spans="1:38" s="33" customFormat="1" hidden="1" outlineLevel="1">
      <c r="A807" s="1150"/>
      <c r="B807" s="821">
        <v>52</v>
      </c>
      <c r="C807" s="371" t="s">
        <v>484</v>
      </c>
      <c r="D807" s="31">
        <f>+VLOOKUP(E807,Codigos!$A$1:$B$1123,2,0)</f>
        <v>52612</v>
      </c>
      <c r="E807" s="1121" t="s">
        <v>2104</v>
      </c>
      <c r="F807" s="1103">
        <v>1</v>
      </c>
      <c r="G807" s="30">
        <v>198</v>
      </c>
      <c r="H807" s="1061">
        <f>CEILING(G807,'Parametros Generales'!$C$8)</f>
        <v>200</v>
      </c>
      <c r="I807" s="1085" t="s">
        <v>526</v>
      </c>
      <c r="J807" s="1058">
        <v>200</v>
      </c>
      <c r="K807" s="1070" t="str">
        <f t="shared" si="62"/>
        <v>Ok</v>
      </c>
      <c r="L807" s="1077">
        <f t="shared" si="63"/>
        <v>0</v>
      </c>
      <c r="M807" s="1090">
        <f>+H807/'Parametros Generales'!$C$8</f>
        <v>8</v>
      </c>
      <c r="N807" s="1097"/>
      <c r="O807" s="1097"/>
      <c r="P807" s="1097"/>
      <c r="Q807" s="1097"/>
      <c r="R807" s="1097">
        <f>+(M807/'Parametros Generales'!$C$9)</f>
        <v>2</v>
      </c>
      <c r="S807" s="390"/>
      <c r="T807" s="390"/>
      <c r="U807" s="390"/>
      <c r="V807" s="389"/>
      <c r="W807" s="32">
        <f>+R807*'Componentes T.H.'!$Q$9*'Parametros Generales'!$C$6</f>
        <v>10037014.142000001</v>
      </c>
      <c r="X807" s="32">
        <f>(+VLOOKUP(C807,'Transporte y Viaticos'!$B$87:$L$120,2,0)*'Parametros Generales'!$C$7*R807)*(2/3)</f>
        <v>1541801.9233013424</v>
      </c>
      <c r="Y807" s="417"/>
      <c r="Z807" s="417"/>
      <c r="AA807" s="417"/>
      <c r="AB807" s="417">
        <f>+M807*'Parametros Generales'!$C$6*'Parametros Generales'!$J$9</f>
        <v>3895272.7272727285</v>
      </c>
      <c r="AC807" s="417">
        <f>+H807*'Parametros Generales'!$J$10*'Parametros Generales'!$C$6*'Parametros Generales'!$C$11</f>
        <v>14738498.767401624</v>
      </c>
      <c r="AD807" s="417"/>
      <c r="AE807" s="417"/>
      <c r="AF807" s="417"/>
      <c r="AG807" s="417"/>
      <c r="AH807" s="417"/>
      <c r="AI807" s="417"/>
      <c r="AJ807" s="417"/>
      <c r="AK807" s="436"/>
      <c r="AL807" s="822"/>
    </row>
    <row r="808" spans="1:38" s="33" customFormat="1" hidden="1" outlineLevel="1">
      <c r="A808" s="1150"/>
      <c r="B808" s="821">
        <v>52</v>
      </c>
      <c r="C808" s="371" t="s">
        <v>484</v>
      </c>
      <c r="D808" s="31">
        <f>+VLOOKUP(E808,Codigos!$A$1:$B$1123,2,0)</f>
        <v>52621</v>
      </c>
      <c r="E808" s="1121" t="s">
        <v>2105</v>
      </c>
      <c r="F808" s="1103">
        <v>1</v>
      </c>
      <c r="G808" s="30">
        <v>198</v>
      </c>
      <c r="H808" s="1061">
        <f>CEILING(G808,'Parametros Generales'!$C$8)</f>
        <v>200</v>
      </c>
      <c r="I808" s="1085" t="s">
        <v>527</v>
      </c>
      <c r="J808" s="1058">
        <v>200</v>
      </c>
      <c r="K808" s="1070" t="str">
        <f t="shared" si="62"/>
        <v>Ok</v>
      </c>
      <c r="L808" s="1077">
        <f t="shared" si="63"/>
        <v>0</v>
      </c>
      <c r="M808" s="1090">
        <f>+H808/'Parametros Generales'!$C$8</f>
        <v>8</v>
      </c>
      <c r="N808" s="1097"/>
      <c r="O808" s="1097"/>
      <c r="P808" s="1097"/>
      <c r="Q808" s="1097"/>
      <c r="R808" s="1097">
        <f>+(M808/'Parametros Generales'!$C$9)</f>
        <v>2</v>
      </c>
      <c r="S808" s="390"/>
      <c r="T808" s="390"/>
      <c r="U808" s="390"/>
      <c r="V808" s="389"/>
      <c r="W808" s="32">
        <f>+R808*'Componentes T.H.'!$Q$9*'Parametros Generales'!$C$6</f>
        <v>10037014.142000001</v>
      </c>
      <c r="X808" s="32">
        <f>(+VLOOKUP(C808,'Transporte y Viaticos'!$B$87:$L$120,2,0)*'Parametros Generales'!$C$7*R808)*(2/3)</f>
        <v>1541801.9233013424</v>
      </c>
      <c r="Y808" s="417"/>
      <c r="Z808" s="417"/>
      <c r="AA808" s="417"/>
      <c r="AB808" s="417">
        <f>+M808*'Parametros Generales'!$C$6*'Parametros Generales'!$J$9</f>
        <v>3895272.7272727285</v>
      </c>
      <c r="AC808" s="417">
        <f>+H808*'Parametros Generales'!$J$10*'Parametros Generales'!$C$6*'Parametros Generales'!$C$11</f>
        <v>14738498.767401624</v>
      </c>
      <c r="AD808" s="417"/>
      <c r="AE808" s="417"/>
      <c r="AF808" s="417"/>
      <c r="AG808" s="417"/>
      <c r="AH808" s="417"/>
      <c r="AI808" s="417"/>
      <c r="AJ808" s="417"/>
      <c r="AK808" s="436"/>
      <c r="AL808" s="822"/>
    </row>
    <row r="809" spans="1:38" s="33" customFormat="1" hidden="1" outlineLevel="1">
      <c r="A809" s="1150"/>
      <c r="B809" s="821">
        <v>52</v>
      </c>
      <c r="C809" s="371" t="s">
        <v>484</v>
      </c>
      <c r="D809" s="31">
        <f>+VLOOKUP(E809,Codigos!$A$1:$B$1123,2,0)</f>
        <v>52678</v>
      </c>
      <c r="E809" s="1121" t="s">
        <v>2106</v>
      </c>
      <c r="F809" s="1103">
        <v>1</v>
      </c>
      <c r="G809" s="30">
        <v>198</v>
      </c>
      <c r="H809" s="1061">
        <f>CEILING(G809,'Parametros Generales'!$C$8)</f>
        <v>200</v>
      </c>
      <c r="I809" s="1085" t="s">
        <v>528</v>
      </c>
      <c r="J809" s="1058">
        <v>200</v>
      </c>
      <c r="K809" s="1070" t="str">
        <f t="shared" si="62"/>
        <v>Ok</v>
      </c>
      <c r="L809" s="1077">
        <f t="shared" si="63"/>
        <v>0</v>
      </c>
      <c r="M809" s="1090">
        <f>+H809/'Parametros Generales'!$C$8</f>
        <v>8</v>
      </c>
      <c r="N809" s="1097"/>
      <c r="O809" s="1097"/>
      <c r="P809" s="1097"/>
      <c r="Q809" s="1097"/>
      <c r="R809" s="1097">
        <f>+(M809/'Parametros Generales'!$C$9)</f>
        <v>2</v>
      </c>
      <c r="S809" s="390"/>
      <c r="T809" s="390"/>
      <c r="U809" s="390"/>
      <c r="V809" s="389"/>
      <c r="W809" s="32">
        <f>+R809*'Componentes T.H.'!$Q$9*'Parametros Generales'!$C$6</f>
        <v>10037014.142000001</v>
      </c>
      <c r="X809" s="32">
        <f>(+VLOOKUP(C809,'Transporte y Viaticos'!$B$87:$L$120,2,0)*'Parametros Generales'!$C$7*R809)*(2/3)</f>
        <v>1541801.9233013424</v>
      </c>
      <c r="Y809" s="417"/>
      <c r="Z809" s="417"/>
      <c r="AA809" s="417"/>
      <c r="AB809" s="417">
        <f>+M809*'Parametros Generales'!$C$6*'Parametros Generales'!$J$9</f>
        <v>3895272.7272727285</v>
      </c>
      <c r="AC809" s="417">
        <f>+H809*'Parametros Generales'!$J$10*'Parametros Generales'!$C$6*'Parametros Generales'!$C$11</f>
        <v>14738498.767401624</v>
      </c>
      <c r="AD809" s="417"/>
      <c r="AE809" s="417"/>
      <c r="AF809" s="417"/>
      <c r="AG809" s="417"/>
      <c r="AH809" s="417"/>
      <c r="AI809" s="417"/>
      <c r="AJ809" s="417"/>
      <c r="AK809" s="436"/>
      <c r="AL809" s="822"/>
    </row>
    <row r="810" spans="1:38" s="33" customFormat="1" hidden="1" outlineLevel="1">
      <c r="A810" s="1150"/>
      <c r="B810" s="821">
        <v>52</v>
      </c>
      <c r="C810" s="371" t="s">
        <v>484</v>
      </c>
      <c r="D810" s="31">
        <f>+VLOOKUP(E810,Codigos!$A$1:$B$1123,2,0)</f>
        <v>52835</v>
      </c>
      <c r="E810" s="1121" t="s">
        <v>2107</v>
      </c>
      <c r="F810" s="1103">
        <v>1</v>
      </c>
      <c r="G810" s="30">
        <v>792</v>
      </c>
      <c r="H810" s="1061">
        <f>CEILING(G810,'Parametros Generales'!$C$8)</f>
        <v>800</v>
      </c>
      <c r="I810" s="1085" t="s">
        <v>529</v>
      </c>
      <c r="J810" s="1058">
        <v>800</v>
      </c>
      <c r="K810" s="1070" t="str">
        <f t="shared" si="62"/>
        <v>Ok</v>
      </c>
      <c r="L810" s="1077">
        <f t="shared" si="63"/>
        <v>0</v>
      </c>
      <c r="M810" s="1090">
        <f>+H810/'Parametros Generales'!$C$8</f>
        <v>32</v>
      </c>
      <c r="N810" s="1097"/>
      <c r="O810" s="1097"/>
      <c r="P810" s="1097"/>
      <c r="Q810" s="1097"/>
      <c r="R810" s="1097">
        <f>+(M810/'Parametros Generales'!$C$9)</f>
        <v>8</v>
      </c>
      <c r="S810" s="390"/>
      <c r="T810" s="390"/>
      <c r="U810" s="390"/>
      <c r="V810" s="389"/>
      <c r="W810" s="32">
        <f>+R810*'Componentes T.H.'!$Q$9*'Parametros Generales'!$C$6</f>
        <v>40148056.568000004</v>
      </c>
      <c r="X810" s="32">
        <f>(+VLOOKUP(C810,'Transporte y Viaticos'!$B$87:$L$120,2,0)*'Parametros Generales'!$C$7*R810)*(2/3)</f>
        <v>6167207.6932053696</v>
      </c>
      <c r="Y810" s="417"/>
      <c r="Z810" s="417"/>
      <c r="AA810" s="417"/>
      <c r="AB810" s="417">
        <f>+M810*'Parametros Generales'!$C$6*'Parametros Generales'!$J$9</f>
        <v>15581090.909090914</v>
      </c>
      <c r="AC810" s="417">
        <f>+H810*'Parametros Generales'!$J$10*'Parametros Generales'!$C$6*'Parametros Generales'!$C$11</f>
        <v>58953995.069606498</v>
      </c>
      <c r="AD810" s="417"/>
      <c r="AE810" s="417"/>
      <c r="AF810" s="417"/>
      <c r="AG810" s="417"/>
      <c r="AH810" s="417"/>
      <c r="AI810" s="417"/>
      <c r="AJ810" s="417"/>
      <c r="AK810" s="436"/>
      <c r="AL810" s="822"/>
    </row>
    <row r="811" spans="1:38" s="33" customFormat="1" hidden="1" outlineLevel="1">
      <c r="A811" s="1150"/>
      <c r="B811" s="821">
        <v>52</v>
      </c>
      <c r="C811" s="371" t="s">
        <v>484</v>
      </c>
      <c r="D811" s="31">
        <f>+VLOOKUP(E811,Codigos!$A$1:$B$1123,2,0)</f>
        <v>52685</v>
      </c>
      <c r="E811" s="1121" t="s">
        <v>2108</v>
      </c>
      <c r="F811" s="1103">
        <v>1</v>
      </c>
      <c r="G811" s="30">
        <v>198</v>
      </c>
      <c r="H811" s="1061">
        <f>CEILING(G811,'Parametros Generales'!$C$8)</f>
        <v>200</v>
      </c>
      <c r="I811" s="1085" t="s">
        <v>530</v>
      </c>
      <c r="J811" s="1058">
        <v>200</v>
      </c>
      <c r="K811" s="1070" t="str">
        <f t="shared" si="62"/>
        <v>Ok</v>
      </c>
      <c r="L811" s="1077">
        <f t="shared" si="63"/>
        <v>0</v>
      </c>
      <c r="M811" s="1090">
        <f>+H811/'Parametros Generales'!$C$8</f>
        <v>8</v>
      </c>
      <c r="N811" s="1097"/>
      <c r="O811" s="1097"/>
      <c r="P811" s="1097"/>
      <c r="Q811" s="1097"/>
      <c r="R811" s="1097">
        <f>+(M811/'Parametros Generales'!$C$9)</f>
        <v>2</v>
      </c>
      <c r="S811" s="390"/>
      <c r="T811" s="390"/>
      <c r="U811" s="390"/>
      <c r="V811" s="389"/>
      <c r="W811" s="32">
        <f>+R811*'Componentes T.H.'!$Q$9*'Parametros Generales'!$C$6</f>
        <v>10037014.142000001</v>
      </c>
      <c r="X811" s="32">
        <f>(+VLOOKUP(C811,'Transporte y Viaticos'!$B$87:$L$120,2,0)*'Parametros Generales'!$C$7*R811)*(2/3)</f>
        <v>1541801.9233013424</v>
      </c>
      <c r="Y811" s="417"/>
      <c r="Z811" s="417"/>
      <c r="AA811" s="417"/>
      <c r="AB811" s="417">
        <f>+M811*'Parametros Generales'!$C$6*'Parametros Generales'!$J$9</f>
        <v>3895272.7272727285</v>
      </c>
      <c r="AC811" s="417">
        <f>+H811*'Parametros Generales'!$J$10*'Parametros Generales'!$C$6*'Parametros Generales'!$C$11</f>
        <v>14738498.767401624</v>
      </c>
      <c r="AD811" s="417"/>
      <c r="AE811" s="417"/>
      <c r="AF811" s="417"/>
      <c r="AG811" s="417"/>
      <c r="AH811" s="417"/>
      <c r="AI811" s="417"/>
      <c r="AJ811" s="417"/>
      <c r="AK811" s="436"/>
      <c r="AL811" s="822"/>
    </row>
    <row r="812" spans="1:38" s="33" customFormat="1" hidden="1" outlineLevel="1">
      <c r="A812" s="1150"/>
      <c r="B812" s="821">
        <v>52</v>
      </c>
      <c r="C812" s="371" t="s">
        <v>484</v>
      </c>
      <c r="D812" s="31">
        <f>+VLOOKUP(E812,Codigos!$A$1:$B$1123,2,0)</f>
        <v>52687</v>
      </c>
      <c r="E812" s="1121" t="s">
        <v>2109</v>
      </c>
      <c r="F812" s="1103">
        <v>1</v>
      </c>
      <c r="G812" s="30">
        <v>198</v>
      </c>
      <c r="H812" s="1061">
        <f>CEILING(G812,'Parametros Generales'!$C$8)</f>
        <v>200</v>
      </c>
      <c r="I812" s="1085" t="s">
        <v>2401</v>
      </c>
      <c r="J812" s="1058">
        <v>200</v>
      </c>
      <c r="K812" s="1070" t="str">
        <f t="shared" si="62"/>
        <v>Ok</v>
      </c>
      <c r="L812" s="1077">
        <f t="shared" si="63"/>
        <v>0</v>
      </c>
      <c r="M812" s="1090">
        <f>+H812/'Parametros Generales'!$C$8</f>
        <v>8</v>
      </c>
      <c r="N812" s="1097"/>
      <c r="O812" s="1097"/>
      <c r="P812" s="1097"/>
      <c r="Q812" s="1097"/>
      <c r="R812" s="1097">
        <f>+(M812/'Parametros Generales'!$C$9)</f>
        <v>2</v>
      </c>
      <c r="S812" s="390"/>
      <c r="T812" s="390"/>
      <c r="U812" s="390"/>
      <c r="V812" s="389"/>
      <c r="W812" s="32">
        <f>+R812*'Componentes T.H.'!$Q$9*'Parametros Generales'!$C$6</f>
        <v>10037014.142000001</v>
      </c>
      <c r="X812" s="32">
        <f>(+VLOOKUP(C812,'Transporte y Viaticos'!$B$87:$L$120,2,0)*'Parametros Generales'!$C$7*R812)*(2/3)</f>
        <v>1541801.9233013424</v>
      </c>
      <c r="Y812" s="417"/>
      <c r="Z812" s="417"/>
      <c r="AA812" s="417"/>
      <c r="AB812" s="417">
        <f>+M812*'Parametros Generales'!$C$6*'Parametros Generales'!$J$9</f>
        <v>3895272.7272727285</v>
      </c>
      <c r="AC812" s="417">
        <f>+H812*'Parametros Generales'!$J$10*'Parametros Generales'!$C$6*'Parametros Generales'!$C$11</f>
        <v>14738498.767401624</v>
      </c>
      <c r="AD812" s="417"/>
      <c r="AE812" s="417"/>
      <c r="AF812" s="417"/>
      <c r="AG812" s="417"/>
      <c r="AH812" s="417"/>
      <c r="AI812" s="417"/>
      <c r="AJ812" s="417"/>
      <c r="AK812" s="436"/>
      <c r="AL812" s="822"/>
    </row>
    <row r="813" spans="1:38" s="33" customFormat="1" hidden="1" outlineLevel="1">
      <c r="A813" s="1150"/>
      <c r="B813" s="821">
        <v>52</v>
      </c>
      <c r="C813" s="371" t="s">
        <v>484</v>
      </c>
      <c r="D813" s="31">
        <f>+VLOOKUP(E813,Codigos!$A$1:$B$1123,2,0)</f>
        <v>52693</v>
      </c>
      <c r="E813" s="1121" t="s">
        <v>2110</v>
      </c>
      <c r="F813" s="1103">
        <v>1</v>
      </c>
      <c r="G813" s="30">
        <v>198</v>
      </c>
      <c r="H813" s="1061">
        <f>CEILING(G813,'Parametros Generales'!$C$8)</f>
        <v>200</v>
      </c>
      <c r="I813" s="1085" t="s">
        <v>531</v>
      </c>
      <c r="J813" s="1058">
        <v>200</v>
      </c>
      <c r="K813" s="1070" t="str">
        <f t="shared" si="62"/>
        <v>Ok</v>
      </c>
      <c r="L813" s="1077">
        <f t="shared" si="63"/>
        <v>0</v>
      </c>
      <c r="M813" s="1090">
        <f>+H813/'Parametros Generales'!$C$8</f>
        <v>8</v>
      </c>
      <c r="N813" s="1097"/>
      <c r="O813" s="1097"/>
      <c r="P813" s="1097"/>
      <c r="Q813" s="1097"/>
      <c r="R813" s="1097">
        <f>+(M813/'Parametros Generales'!$C$9)</f>
        <v>2</v>
      </c>
      <c r="S813" s="390"/>
      <c r="T813" s="390"/>
      <c r="U813" s="390"/>
      <c r="V813" s="389"/>
      <c r="W813" s="32">
        <f>+R813*'Componentes T.H.'!$Q$9*'Parametros Generales'!$C$6</f>
        <v>10037014.142000001</v>
      </c>
      <c r="X813" s="32">
        <f>(+VLOOKUP(C813,'Transporte y Viaticos'!$B$87:$L$120,2,0)*'Parametros Generales'!$C$7*R813)*(2/3)</f>
        <v>1541801.9233013424</v>
      </c>
      <c r="Y813" s="417"/>
      <c r="Z813" s="417"/>
      <c r="AA813" s="417"/>
      <c r="AB813" s="417">
        <f>+M813*'Parametros Generales'!$C$6*'Parametros Generales'!$J$9</f>
        <v>3895272.7272727285</v>
      </c>
      <c r="AC813" s="417">
        <f>+H813*'Parametros Generales'!$J$10*'Parametros Generales'!$C$6*'Parametros Generales'!$C$11</f>
        <v>14738498.767401624</v>
      </c>
      <c r="AD813" s="417"/>
      <c r="AE813" s="417"/>
      <c r="AF813" s="417"/>
      <c r="AG813" s="417"/>
      <c r="AH813" s="417"/>
      <c r="AI813" s="417"/>
      <c r="AJ813" s="417"/>
      <c r="AK813" s="436"/>
      <c r="AL813" s="822"/>
    </row>
    <row r="814" spans="1:38" s="33" customFormat="1" hidden="1" outlineLevel="1">
      <c r="A814" s="1150"/>
      <c r="B814" s="821">
        <v>52</v>
      </c>
      <c r="C814" s="371" t="s">
        <v>484</v>
      </c>
      <c r="D814" s="31">
        <f>+VLOOKUP(E814,Codigos!$A$1:$B$1123,2,0)</f>
        <v>52694</v>
      </c>
      <c r="E814" s="1121" t="s">
        <v>2111</v>
      </c>
      <c r="F814" s="1103">
        <v>1</v>
      </c>
      <c r="G814" s="30">
        <v>198</v>
      </c>
      <c r="H814" s="1061">
        <f>CEILING(G814,'Parametros Generales'!$C$8)</f>
        <v>200</v>
      </c>
      <c r="I814" s="1085" t="s">
        <v>2402</v>
      </c>
      <c r="J814" s="1058">
        <v>200</v>
      </c>
      <c r="K814" s="1070" t="str">
        <f t="shared" si="62"/>
        <v>Ok</v>
      </c>
      <c r="L814" s="1077">
        <f t="shared" si="63"/>
        <v>0</v>
      </c>
      <c r="M814" s="1090">
        <f>+H814/'Parametros Generales'!$C$8</f>
        <v>8</v>
      </c>
      <c r="N814" s="1097"/>
      <c r="O814" s="1097"/>
      <c r="P814" s="1097"/>
      <c r="Q814" s="1097"/>
      <c r="R814" s="1097">
        <f>+(M814/'Parametros Generales'!$C$9)</f>
        <v>2</v>
      </c>
      <c r="S814" s="390"/>
      <c r="T814" s="390"/>
      <c r="U814" s="390"/>
      <c r="V814" s="389"/>
      <c r="W814" s="32">
        <f>+R814*'Componentes T.H.'!$Q$9*'Parametros Generales'!$C$6</f>
        <v>10037014.142000001</v>
      </c>
      <c r="X814" s="32">
        <f>(+VLOOKUP(C814,'Transporte y Viaticos'!$B$87:$L$120,2,0)*'Parametros Generales'!$C$7*R814)*(2/3)</f>
        <v>1541801.9233013424</v>
      </c>
      <c r="Y814" s="417"/>
      <c r="Z814" s="417"/>
      <c r="AA814" s="417"/>
      <c r="AB814" s="417">
        <f>+M814*'Parametros Generales'!$C$6*'Parametros Generales'!$J$9</f>
        <v>3895272.7272727285</v>
      </c>
      <c r="AC814" s="417">
        <f>+H814*'Parametros Generales'!$J$10*'Parametros Generales'!$C$6*'Parametros Generales'!$C$11</f>
        <v>14738498.767401624</v>
      </c>
      <c r="AD814" s="417"/>
      <c r="AE814" s="417"/>
      <c r="AF814" s="417"/>
      <c r="AG814" s="417"/>
      <c r="AH814" s="417"/>
      <c r="AI814" s="417"/>
      <c r="AJ814" s="417"/>
      <c r="AK814" s="436"/>
      <c r="AL814" s="822"/>
    </row>
    <row r="815" spans="1:38" s="33" customFormat="1" hidden="1" outlineLevel="1">
      <c r="A815" s="1150"/>
      <c r="B815" s="821">
        <v>52</v>
      </c>
      <c r="C815" s="371" t="s">
        <v>484</v>
      </c>
      <c r="D815" s="31">
        <f>+VLOOKUP(E815,Codigos!$A$1:$B$1123,2,0)</f>
        <v>52683</v>
      </c>
      <c r="E815" s="1121" t="s">
        <v>2112</v>
      </c>
      <c r="F815" s="1103">
        <v>1</v>
      </c>
      <c r="G815" s="30">
        <v>198</v>
      </c>
      <c r="H815" s="1061">
        <f>CEILING(G815,'Parametros Generales'!$C$8)</f>
        <v>200</v>
      </c>
      <c r="I815" s="1085" t="s">
        <v>532</v>
      </c>
      <c r="J815" s="1058">
        <v>200</v>
      </c>
      <c r="K815" s="1070" t="str">
        <f t="shared" si="62"/>
        <v>Ok</v>
      </c>
      <c r="L815" s="1077">
        <f t="shared" si="63"/>
        <v>0</v>
      </c>
      <c r="M815" s="1090">
        <f>+H815/'Parametros Generales'!$C$8</f>
        <v>8</v>
      </c>
      <c r="N815" s="1097"/>
      <c r="O815" s="1097"/>
      <c r="P815" s="1097"/>
      <c r="Q815" s="1097"/>
      <c r="R815" s="1097">
        <f>+(M815/'Parametros Generales'!$C$9)</f>
        <v>2</v>
      </c>
      <c r="S815" s="390"/>
      <c r="T815" s="390"/>
      <c r="U815" s="390"/>
      <c r="V815" s="389"/>
      <c r="W815" s="32">
        <f>+R815*'Componentes T.H.'!$Q$9*'Parametros Generales'!$C$6</f>
        <v>10037014.142000001</v>
      </c>
      <c r="X815" s="32">
        <f>(+VLOOKUP(C815,'Transporte y Viaticos'!$B$87:$L$120,2,0)*'Parametros Generales'!$C$7*R815)*(2/3)</f>
        <v>1541801.9233013424</v>
      </c>
      <c r="Y815" s="417"/>
      <c r="Z815" s="417"/>
      <c r="AA815" s="417"/>
      <c r="AB815" s="417">
        <f>+M815*'Parametros Generales'!$C$6*'Parametros Generales'!$J$9</f>
        <v>3895272.7272727285</v>
      </c>
      <c r="AC815" s="417">
        <f>+H815*'Parametros Generales'!$J$10*'Parametros Generales'!$C$6*'Parametros Generales'!$C$11</f>
        <v>14738498.767401624</v>
      </c>
      <c r="AD815" s="417"/>
      <c r="AE815" s="417"/>
      <c r="AF815" s="417"/>
      <c r="AG815" s="417"/>
      <c r="AH815" s="417"/>
      <c r="AI815" s="417"/>
      <c r="AJ815" s="417"/>
      <c r="AK815" s="436"/>
      <c r="AL815" s="822"/>
    </row>
    <row r="816" spans="1:38" s="33" customFormat="1" hidden="1" outlineLevel="1">
      <c r="A816" s="1150"/>
      <c r="B816" s="821">
        <v>52</v>
      </c>
      <c r="C816" s="371" t="s">
        <v>484</v>
      </c>
      <c r="D816" s="31">
        <f>+VLOOKUP(E816,Codigos!$A$1:$B$1123,2,0)</f>
        <v>52696</v>
      </c>
      <c r="E816" s="1121" t="s">
        <v>2113</v>
      </c>
      <c r="F816" s="1103">
        <v>1</v>
      </c>
      <c r="G816" s="30">
        <v>198</v>
      </c>
      <c r="H816" s="1061">
        <f>CEILING(G816,'Parametros Generales'!$C$8)</f>
        <v>200</v>
      </c>
      <c r="I816" s="1085" t="s">
        <v>533</v>
      </c>
      <c r="J816" s="1058">
        <v>200</v>
      </c>
      <c r="K816" s="1070" t="str">
        <f t="shared" si="62"/>
        <v>Ok</v>
      </c>
      <c r="L816" s="1077">
        <f t="shared" si="63"/>
        <v>0</v>
      </c>
      <c r="M816" s="1090">
        <f>+H816/'Parametros Generales'!$C$8</f>
        <v>8</v>
      </c>
      <c r="N816" s="1097"/>
      <c r="O816" s="1097"/>
      <c r="P816" s="1097"/>
      <c r="Q816" s="1097"/>
      <c r="R816" s="1097">
        <f>+(M816/'Parametros Generales'!$C$9)</f>
        <v>2</v>
      </c>
      <c r="S816" s="390"/>
      <c r="T816" s="390"/>
      <c r="U816" s="390"/>
      <c r="V816" s="389"/>
      <c r="W816" s="32">
        <f>+R816*'Componentes T.H.'!$Q$9*'Parametros Generales'!$C$6</f>
        <v>10037014.142000001</v>
      </c>
      <c r="X816" s="32">
        <f>(+VLOOKUP(C816,'Transporte y Viaticos'!$B$87:$L$120,2,0)*'Parametros Generales'!$C$7*R816)*(2/3)</f>
        <v>1541801.9233013424</v>
      </c>
      <c r="Y816" s="417"/>
      <c r="Z816" s="417"/>
      <c r="AA816" s="417"/>
      <c r="AB816" s="417">
        <f>+M816*'Parametros Generales'!$C$6*'Parametros Generales'!$J$9</f>
        <v>3895272.7272727285</v>
      </c>
      <c r="AC816" s="417">
        <f>+H816*'Parametros Generales'!$J$10*'Parametros Generales'!$C$6*'Parametros Generales'!$C$11</f>
        <v>14738498.767401624</v>
      </c>
      <c r="AD816" s="417"/>
      <c r="AE816" s="417"/>
      <c r="AF816" s="417"/>
      <c r="AG816" s="417"/>
      <c r="AH816" s="417"/>
      <c r="AI816" s="417"/>
      <c r="AJ816" s="417"/>
      <c r="AK816" s="436"/>
      <c r="AL816" s="822"/>
    </row>
    <row r="817" spans="1:38" s="33" customFormat="1" hidden="1" outlineLevel="1">
      <c r="A817" s="1150"/>
      <c r="B817" s="821">
        <v>52</v>
      </c>
      <c r="C817" s="371" t="s">
        <v>484</v>
      </c>
      <c r="D817" s="31">
        <f>+VLOOKUP(E817,Codigos!$A$1:$B$1123,2,0)</f>
        <v>52699</v>
      </c>
      <c r="E817" s="1121" t="s">
        <v>2114</v>
      </c>
      <c r="F817" s="1103">
        <v>1</v>
      </c>
      <c r="G817" s="30">
        <v>198</v>
      </c>
      <c r="H817" s="1061">
        <f>CEILING(G817,'Parametros Generales'!$C$8)</f>
        <v>200</v>
      </c>
      <c r="I817" s="1085" t="s">
        <v>534</v>
      </c>
      <c r="J817" s="1058">
        <v>200</v>
      </c>
      <c r="K817" s="1070" t="str">
        <f t="shared" si="62"/>
        <v>Ok</v>
      </c>
      <c r="L817" s="1077">
        <f t="shared" si="63"/>
        <v>0</v>
      </c>
      <c r="M817" s="1090">
        <f>+H817/'Parametros Generales'!$C$8</f>
        <v>8</v>
      </c>
      <c r="N817" s="1097"/>
      <c r="O817" s="1097"/>
      <c r="P817" s="1097"/>
      <c r="Q817" s="1097"/>
      <c r="R817" s="1097">
        <f>+(M817/'Parametros Generales'!$C$9)</f>
        <v>2</v>
      </c>
      <c r="S817" s="390"/>
      <c r="T817" s="390"/>
      <c r="U817" s="390"/>
      <c r="V817" s="389"/>
      <c r="W817" s="32">
        <f>+R817*'Componentes T.H.'!$Q$9*'Parametros Generales'!$C$6</f>
        <v>10037014.142000001</v>
      </c>
      <c r="X817" s="32">
        <f>(+VLOOKUP(C817,'Transporte y Viaticos'!$B$87:$L$120,2,0)*'Parametros Generales'!$C$7*R817)*(2/3)</f>
        <v>1541801.9233013424</v>
      </c>
      <c r="Y817" s="417"/>
      <c r="Z817" s="417"/>
      <c r="AA817" s="417"/>
      <c r="AB817" s="417">
        <f>+M817*'Parametros Generales'!$C$6*'Parametros Generales'!$J$9</f>
        <v>3895272.7272727285</v>
      </c>
      <c r="AC817" s="417">
        <f>+H817*'Parametros Generales'!$J$10*'Parametros Generales'!$C$6*'Parametros Generales'!$C$11</f>
        <v>14738498.767401624</v>
      </c>
      <c r="AD817" s="417"/>
      <c r="AE817" s="417"/>
      <c r="AF817" s="417"/>
      <c r="AG817" s="417"/>
      <c r="AH817" s="417"/>
      <c r="AI817" s="417"/>
      <c r="AJ817" s="417"/>
      <c r="AK817" s="436"/>
      <c r="AL817" s="822"/>
    </row>
    <row r="818" spans="1:38" s="33" customFormat="1" hidden="1" outlineLevel="1">
      <c r="A818" s="1150"/>
      <c r="B818" s="821">
        <v>52</v>
      </c>
      <c r="C818" s="371" t="s">
        <v>484</v>
      </c>
      <c r="D818" s="31">
        <f>+VLOOKUP(E818,Codigos!$A$1:$B$1123,2,0)</f>
        <v>52720</v>
      </c>
      <c r="E818" s="1121" t="s">
        <v>2115</v>
      </c>
      <c r="F818" s="1103">
        <v>1</v>
      </c>
      <c r="G818" s="30">
        <v>198</v>
      </c>
      <c r="H818" s="1061">
        <f>CEILING(G818,'Parametros Generales'!$C$8)</f>
        <v>200</v>
      </c>
      <c r="I818" s="1085" t="s">
        <v>535</v>
      </c>
      <c r="J818" s="1058">
        <v>200</v>
      </c>
      <c r="K818" s="1070" t="str">
        <f t="shared" si="62"/>
        <v>Ok</v>
      </c>
      <c r="L818" s="1077">
        <f t="shared" si="63"/>
        <v>0</v>
      </c>
      <c r="M818" s="1090">
        <f>+H818/'Parametros Generales'!$C$8</f>
        <v>8</v>
      </c>
      <c r="N818" s="1097"/>
      <c r="O818" s="1097"/>
      <c r="P818" s="1097"/>
      <c r="Q818" s="1097"/>
      <c r="R818" s="1097">
        <f>+(M818/'Parametros Generales'!$C$9)</f>
        <v>2</v>
      </c>
      <c r="S818" s="390"/>
      <c r="T818" s="390"/>
      <c r="U818" s="390"/>
      <c r="V818" s="389"/>
      <c r="W818" s="32">
        <f>+R818*'Componentes T.H.'!$Q$9*'Parametros Generales'!$C$6</f>
        <v>10037014.142000001</v>
      </c>
      <c r="X818" s="32">
        <f>(+VLOOKUP(C818,'Transporte y Viaticos'!$B$87:$L$120,2,0)*'Parametros Generales'!$C$7*R818)*(2/3)</f>
        <v>1541801.9233013424</v>
      </c>
      <c r="Y818" s="417"/>
      <c r="Z818" s="417"/>
      <c r="AA818" s="417"/>
      <c r="AB818" s="417">
        <f>+M818*'Parametros Generales'!$C$6*'Parametros Generales'!$J$9</f>
        <v>3895272.7272727285</v>
      </c>
      <c r="AC818" s="417">
        <f>+H818*'Parametros Generales'!$J$10*'Parametros Generales'!$C$6*'Parametros Generales'!$C$11</f>
        <v>14738498.767401624</v>
      </c>
      <c r="AD818" s="417"/>
      <c r="AE818" s="417"/>
      <c r="AF818" s="417"/>
      <c r="AG818" s="417"/>
      <c r="AH818" s="417"/>
      <c r="AI818" s="417"/>
      <c r="AJ818" s="417"/>
      <c r="AK818" s="436"/>
      <c r="AL818" s="822"/>
    </row>
    <row r="819" spans="1:38" s="33" customFormat="1" hidden="1" outlineLevel="1">
      <c r="A819" s="1150"/>
      <c r="B819" s="821">
        <v>52</v>
      </c>
      <c r="C819" s="371" t="s">
        <v>484</v>
      </c>
      <c r="D819" s="31">
        <f>+VLOOKUP(E819,Codigos!$A$1:$B$1123,2,0)</f>
        <v>52786</v>
      </c>
      <c r="E819" s="1121" t="s">
        <v>2116</v>
      </c>
      <c r="F819" s="1103">
        <v>1</v>
      </c>
      <c r="G819" s="30">
        <v>198</v>
      </c>
      <c r="H819" s="1061">
        <f>CEILING(G819,'Parametros Generales'!$C$8)</f>
        <v>200</v>
      </c>
      <c r="I819" s="1085" t="s">
        <v>536</v>
      </c>
      <c r="J819" s="1058">
        <v>200</v>
      </c>
      <c r="K819" s="1070" t="str">
        <f t="shared" si="62"/>
        <v>Ok</v>
      </c>
      <c r="L819" s="1077">
        <f t="shared" si="63"/>
        <v>0</v>
      </c>
      <c r="M819" s="1090">
        <f>+H819/'Parametros Generales'!$C$8</f>
        <v>8</v>
      </c>
      <c r="N819" s="1097"/>
      <c r="O819" s="1097"/>
      <c r="P819" s="1097"/>
      <c r="Q819" s="1097"/>
      <c r="R819" s="1097">
        <f>+(M819/'Parametros Generales'!$C$9)</f>
        <v>2</v>
      </c>
      <c r="S819" s="390"/>
      <c r="T819" s="390"/>
      <c r="U819" s="390"/>
      <c r="V819" s="389"/>
      <c r="W819" s="32">
        <f>+R819*'Componentes T.H.'!$Q$9*'Parametros Generales'!$C$6</f>
        <v>10037014.142000001</v>
      </c>
      <c r="X819" s="32">
        <f>(+VLOOKUP(C819,'Transporte y Viaticos'!$B$87:$L$120,2,0)*'Parametros Generales'!$C$7*R819)*(2/3)</f>
        <v>1541801.9233013424</v>
      </c>
      <c r="Y819" s="417"/>
      <c r="Z819" s="417"/>
      <c r="AA819" s="417"/>
      <c r="AB819" s="417">
        <f>+M819*'Parametros Generales'!$C$6*'Parametros Generales'!$J$9</f>
        <v>3895272.7272727285</v>
      </c>
      <c r="AC819" s="417">
        <f>+H819*'Parametros Generales'!$J$10*'Parametros Generales'!$C$6*'Parametros Generales'!$C$11</f>
        <v>14738498.767401624</v>
      </c>
      <c r="AD819" s="417"/>
      <c r="AE819" s="417"/>
      <c r="AF819" s="417"/>
      <c r="AG819" s="417"/>
      <c r="AH819" s="417"/>
      <c r="AI819" s="417"/>
      <c r="AJ819" s="417"/>
      <c r="AK819" s="436"/>
      <c r="AL819" s="822"/>
    </row>
    <row r="820" spans="1:38" s="33" customFormat="1" hidden="1" outlineLevel="1">
      <c r="A820" s="1150"/>
      <c r="B820" s="821">
        <v>52</v>
      </c>
      <c r="C820" s="371" t="s">
        <v>484</v>
      </c>
      <c r="D820" s="31">
        <f>+VLOOKUP(E820,Codigos!$A$1:$B$1123,2,0)</f>
        <v>52788</v>
      </c>
      <c r="E820" s="1121" t="s">
        <v>2117</v>
      </c>
      <c r="F820" s="1103">
        <v>1</v>
      </c>
      <c r="G820" s="30">
        <v>198</v>
      </c>
      <c r="H820" s="1061">
        <f>CEILING(G820,'Parametros Generales'!$C$8)</f>
        <v>200</v>
      </c>
      <c r="I820" s="1085" t="s">
        <v>537</v>
      </c>
      <c r="J820" s="1058">
        <v>200</v>
      </c>
      <c r="K820" s="1070" t="str">
        <f t="shared" si="62"/>
        <v>Ok</v>
      </c>
      <c r="L820" s="1077">
        <f t="shared" si="63"/>
        <v>0</v>
      </c>
      <c r="M820" s="1090">
        <f>+H820/'Parametros Generales'!$C$8</f>
        <v>8</v>
      </c>
      <c r="N820" s="1097"/>
      <c r="O820" s="1097"/>
      <c r="P820" s="1097"/>
      <c r="Q820" s="1097"/>
      <c r="R820" s="1097">
        <f>+(M820/'Parametros Generales'!$C$9)</f>
        <v>2</v>
      </c>
      <c r="S820" s="390"/>
      <c r="T820" s="390"/>
      <c r="U820" s="390"/>
      <c r="V820" s="389"/>
      <c r="W820" s="32">
        <f>+R820*'Componentes T.H.'!$Q$9*'Parametros Generales'!$C$6</f>
        <v>10037014.142000001</v>
      </c>
      <c r="X820" s="32">
        <f>(+VLOOKUP(C820,'Transporte y Viaticos'!$B$87:$L$120,2,0)*'Parametros Generales'!$C$7*R820)*(2/3)</f>
        <v>1541801.9233013424</v>
      </c>
      <c r="Y820" s="417"/>
      <c r="Z820" s="417"/>
      <c r="AA820" s="417"/>
      <c r="AB820" s="417">
        <f>+M820*'Parametros Generales'!$C$6*'Parametros Generales'!$J$9</f>
        <v>3895272.7272727285</v>
      </c>
      <c r="AC820" s="417">
        <f>+H820*'Parametros Generales'!$J$10*'Parametros Generales'!$C$6*'Parametros Generales'!$C$11</f>
        <v>14738498.767401624</v>
      </c>
      <c r="AD820" s="417"/>
      <c r="AE820" s="417"/>
      <c r="AF820" s="417"/>
      <c r="AG820" s="417"/>
      <c r="AH820" s="417"/>
      <c r="AI820" s="417"/>
      <c r="AJ820" s="417"/>
      <c r="AK820" s="436"/>
      <c r="AL820" s="822"/>
    </row>
    <row r="821" spans="1:38" s="33" customFormat="1" hidden="1" outlineLevel="1">
      <c r="A821" s="1150"/>
      <c r="B821" s="821">
        <v>52</v>
      </c>
      <c r="C821" s="371" t="s">
        <v>484</v>
      </c>
      <c r="D821" s="31">
        <f>+VLOOKUP(E821,Codigos!$A$1:$B$1123,2,0)</f>
        <v>52838</v>
      </c>
      <c r="E821" s="1121" t="s">
        <v>2118</v>
      </c>
      <c r="F821" s="1103">
        <v>1</v>
      </c>
      <c r="G821" s="30">
        <v>198</v>
      </c>
      <c r="H821" s="1061">
        <f>CEILING(G821,'Parametros Generales'!$C$8)</f>
        <v>200</v>
      </c>
      <c r="I821" s="1085" t="s">
        <v>538</v>
      </c>
      <c r="J821" s="1058">
        <v>200</v>
      </c>
      <c r="K821" s="1070" t="str">
        <f t="shared" si="62"/>
        <v>Ok</v>
      </c>
      <c r="L821" s="1077">
        <f t="shared" si="63"/>
        <v>0</v>
      </c>
      <c r="M821" s="1090">
        <f>+H821/'Parametros Generales'!$C$8</f>
        <v>8</v>
      </c>
      <c r="N821" s="1097"/>
      <c r="O821" s="1097"/>
      <c r="P821" s="1097"/>
      <c r="Q821" s="1097"/>
      <c r="R821" s="1097">
        <f>+(M821/'Parametros Generales'!$C$9)</f>
        <v>2</v>
      </c>
      <c r="S821" s="390"/>
      <c r="T821" s="390"/>
      <c r="U821" s="390"/>
      <c r="V821" s="389"/>
      <c r="W821" s="32">
        <f>+R821*'Componentes T.H.'!$Q$9*'Parametros Generales'!$C$6</f>
        <v>10037014.142000001</v>
      </c>
      <c r="X821" s="32">
        <f>(+VLOOKUP(C821,'Transporte y Viaticos'!$B$87:$L$120,2,0)*'Parametros Generales'!$C$7*R821)*(2/3)</f>
        <v>1541801.9233013424</v>
      </c>
      <c r="Y821" s="417"/>
      <c r="Z821" s="417"/>
      <c r="AA821" s="417"/>
      <c r="AB821" s="417">
        <f>+M821*'Parametros Generales'!$C$6*'Parametros Generales'!$J$9</f>
        <v>3895272.7272727285</v>
      </c>
      <c r="AC821" s="417">
        <f>+H821*'Parametros Generales'!$J$10*'Parametros Generales'!$C$6*'Parametros Generales'!$C$11</f>
        <v>14738498.767401624</v>
      </c>
      <c r="AD821" s="417"/>
      <c r="AE821" s="417"/>
      <c r="AF821" s="417"/>
      <c r="AG821" s="417"/>
      <c r="AH821" s="417"/>
      <c r="AI821" s="417"/>
      <c r="AJ821" s="417"/>
      <c r="AK821" s="436"/>
      <c r="AL821" s="822"/>
    </row>
    <row r="822" spans="1:38" s="33" customFormat="1" hidden="1" outlineLevel="1">
      <c r="A822" s="1150"/>
      <c r="B822" s="823">
        <v>52</v>
      </c>
      <c r="C822" s="373" t="s">
        <v>484</v>
      </c>
      <c r="D822" s="374">
        <f>+VLOOKUP(E822,Codigos!$A$1:$B$1123,2,0)</f>
        <v>52885</v>
      </c>
      <c r="E822" s="1122" t="s">
        <v>2119</v>
      </c>
      <c r="F822" s="1104">
        <v>1</v>
      </c>
      <c r="G822" s="375">
        <v>198</v>
      </c>
      <c r="H822" s="1062">
        <f>CEILING(G822,'Parametros Generales'!$C$8)</f>
        <v>200</v>
      </c>
      <c r="I822" s="1085" t="s">
        <v>539</v>
      </c>
      <c r="J822" s="1058">
        <v>200</v>
      </c>
      <c r="K822" s="1070" t="str">
        <f t="shared" si="62"/>
        <v>Ok</v>
      </c>
      <c r="L822" s="1077">
        <f t="shared" si="63"/>
        <v>0</v>
      </c>
      <c r="M822" s="1091">
        <f>+H822/'Parametros Generales'!$C$8</f>
        <v>8</v>
      </c>
      <c r="N822" s="1098"/>
      <c r="O822" s="1098"/>
      <c r="P822" s="1098"/>
      <c r="Q822" s="1098"/>
      <c r="R822" s="1098">
        <f>+(M822/'Parametros Generales'!$C$9)</f>
        <v>2</v>
      </c>
      <c r="S822" s="395"/>
      <c r="T822" s="395"/>
      <c r="U822" s="395"/>
      <c r="V822" s="396"/>
      <c r="W822" s="376">
        <f>+R822*'Componentes T.H.'!$Q$9*'Parametros Generales'!$C$6</f>
        <v>10037014.142000001</v>
      </c>
      <c r="X822" s="376">
        <f>(+VLOOKUP(C822,'Transporte y Viaticos'!$B$87:$L$120,2,0)*'Parametros Generales'!$C$7*R822)*(2/3)</f>
        <v>1541801.9233013424</v>
      </c>
      <c r="Y822" s="417"/>
      <c r="Z822" s="417"/>
      <c r="AA822" s="417"/>
      <c r="AB822" s="417">
        <f>+M822*'Parametros Generales'!$C$6*'Parametros Generales'!$J$9</f>
        <v>3895272.7272727285</v>
      </c>
      <c r="AC822" s="417">
        <f>+H822*'Parametros Generales'!$J$10*'Parametros Generales'!$C$6*'Parametros Generales'!$C$11</f>
        <v>14738498.767401624</v>
      </c>
      <c r="AD822" s="417"/>
      <c r="AE822" s="417"/>
      <c r="AF822" s="417"/>
      <c r="AG822" s="417"/>
      <c r="AH822" s="417"/>
      <c r="AI822" s="417"/>
      <c r="AJ822" s="417"/>
      <c r="AK822" s="436"/>
      <c r="AL822" s="822"/>
    </row>
    <row r="823" spans="1:38" s="33" customFormat="1" hidden="1" outlineLevel="1">
      <c r="A823" s="1150"/>
      <c r="B823" s="823">
        <f t="shared" ref="B823:B837" si="64">+B822</f>
        <v>52</v>
      </c>
      <c r="C823" s="373" t="str">
        <f t="shared" ref="C823:C837" si="65">+C822</f>
        <v>NARIÑO</v>
      </c>
      <c r="D823" s="374"/>
      <c r="E823" s="1122"/>
      <c r="F823" s="1104"/>
      <c r="G823" s="375"/>
      <c r="H823" s="1062"/>
      <c r="I823" s="1085"/>
      <c r="J823" s="1058"/>
      <c r="K823" s="1070" t="str">
        <f t="shared" si="62"/>
        <v>Ok</v>
      </c>
      <c r="L823" s="1077">
        <f t="shared" si="63"/>
        <v>0</v>
      </c>
      <c r="M823" s="1091">
        <f>+H823/'Parametros Generales'!$C$8</f>
        <v>0</v>
      </c>
      <c r="N823" s="1098"/>
      <c r="O823" s="1098"/>
      <c r="P823" s="1098"/>
      <c r="Q823" s="1098"/>
      <c r="R823" s="1098">
        <f>+(M823/'Parametros Generales'!$C$9)</f>
        <v>0</v>
      </c>
      <c r="S823" s="395"/>
      <c r="T823" s="395"/>
      <c r="U823" s="395"/>
      <c r="V823" s="396"/>
      <c r="W823" s="376">
        <f>+R823*'Componentes T.H.'!$Q$9*'Parametros Generales'!$C$6</f>
        <v>0</v>
      </c>
      <c r="X823" s="376">
        <f>(+VLOOKUP(C823,'Transporte y Viaticos'!$B$87:$L$120,2,0)*'Parametros Generales'!$C$7*R823)*(2/3)</f>
        <v>0</v>
      </c>
      <c r="Y823" s="417"/>
      <c r="Z823" s="417"/>
      <c r="AA823" s="417"/>
      <c r="AB823" s="417">
        <f>+M823*'Parametros Generales'!$C$6*'Parametros Generales'!$J$9</f>
        <v>0</v>
      </c>
      <c r="AC823" s="417">
        <f>+H823*'Parametros Generales'!$J$10*'Parametros Generales'!$C$6*'Parametros Generales'!$C$11</f>
        <v>0</v>
      </c>
      <c r="AD823" s="417"/>
      <c r="AE823" s="417"/>
      <c r="AF823" s="417"/>
      <c r="AG823" s="417"/>
      <c r="AH823" s="417"/>
      <c r="AI823" s="417"/>
      <c r="AJ823" s="417"/>
      <c r="AK823" s="436"/>
      <c r="AL823" s="822"/>
    </row>
    <row r="824" spans="1:38" s="33" customFormat="1" hidden="1" outlineLevel="1">
      <c r="A824" s="1150"/>
      <c r="B824" s="823">
        <f t="shared" si="64"/>
        <v>52</v>
      </c>
      <c r="C824" s="373" t="str">
        <f t="shared" si="65"/>
        <v>NARIÑO</v>
      </c>
      <c r="D824" s="374"/>
      <c r="E824" s="1122"/>
      <c r="F824" s="1104"/>
      <c r="G824" s="375"/>
      <c r="H824" s="1062"/>
      <c r="I824" s="1085"/>
      <c r="J824" s="1058"/>
      <c r="K824" s="1070" t="str">
        <f t="shared" si="62"/>
        <v>Ok</v>
      </c>
      <c r="L824" s="1077">
        <f t="shared" si="63"/>
        <v>0</v>
      </c>
      <c r="M824" s="1091">
        <f>+H824/'Parametros Generales'!$C$8</f>
        <v>0</v>
      </c>
      <c r="N824" s="1098"/>
      <c r="O824" s="1098"/>
      <c r="P824" s="1098"/>
      <c r="Q824" s="1098"/>
      <c r="R824" s="1098">
        <f>+(M824/'Parametros Generales'!$C$9)</f>
        <v>0</v>
      </c>
      <c r="S824" s="395"/>
      <c r="T824" s="395"/>
      <c r="U824" s="395"/>
      <c r="V824" s="396"/>
      <c r="W824" s="376">
        <f>+R824*'Componentes T.H.'!$Q$9*'Parametros Generales'!$C$6</f>
        <v>0</v>
      </c>
      <c r="X824" s="376">
        <f>(+VLOOKUP(C824,'Transporte y Viaticos'!$B$87:$L$120,2,0)*'Parametros Generales'!$C$7*R824)*(2/3)</f>
        <v>0</v>
      </c>
      <c r="Y824" s="417"/>
      <c r="Z824" s="417"/>
      <c r="AA824" s="417"/>
      <c r="AB824" s="417">
        <f>+M824*'Parametros Generales'!$C$6*'Parametros Generales'!$J$9</f>
        <v>0</v>
      </c>
      <c r="AC824" s="417">
        <f>+H824*'Parametros Generales'!$J$10*'Parametros Generales'!$C$6*'Parametros Generales'!$C$11</f>
        <v>0</v>
      </c>
      <c r="AD824" s="417"/>
      <c r="AE824" s="417"/>
      <c r="AF824" s="417"/>
      <c r="AG824" s="417"/>
      <c r="AH824" s="417"/>
      <c r="AI824" s="417"/>
      <c r="AJ824" s="417"/>
      <c r="AK824" s="436"/>
      <c r="AL824" s="822"/>
    </row>
    <row r="825" spans="1:38" s="33" customFormat="1" hidden="1" outlineLevel="1">
      <c r="A825" s="1150"/>
      <c r="B825" s="823">
        <f t="shared" si="64"/>
        <v>52</v>
      </c>
      <c r="C825" s="373" t="str">
        <f t="shared" si="65"/>
        <v>NARIÑO</v>
      </c>
      <c r="D825" s="374"/>
      <c r="E825" s="1122"/>
      <c r="F825" s="1104"/>
      <c r="G825" s="375"/>
      <c r="H825" s="1062"/>
      <c r="I825" s="1085"/>
      <c r="J825" s="1058"/>
      <c r="K825" s="1070" t="str">
        <f t="shared" si="62"/>
        <v>Ok</v>
      </c>
      <c r="L825" s="1077">
        <f t="shared" si="63"/>
        <v>0</v>
      </c>
      <c r="M825" s="1091">
        <f>+H825/'Parametros Generales'!$C$8</f>
        <v>0</v>
      </c>
      <c r="N825" s="1098"/>
      <c r="O825" s="1098"/>
      <c r="P825" s="1098"/>
      <c r="Q825" s="1098"/>
      <c r="R825" s="1098">
        <f>+(M825/'Parametros Generales'!$C$9)</f>
        <v>0</v>
      </c>
      <c r="S825" s="395"/>
      <c r="T825" s="395"/>
      <c r="U825" s="395"/>
      <c r="V825" s="396"/>
      <c r="W825" s="376">
        <f>+R825*'Componentes T.H.'!$Q$9*'Parametros Generales'!$C$6</f>
        <v>0</v>
      </c>
      <c r="X825" s="376">
        <f>(+VLOOKUP(C825,'Transporte y Viaticos'!$B$87:$L$120,2,0)*'Parametros Generales'!$C$7*R825)*(2/3)</f>
        <v>0</v>
      </c>
      <c r="Y825" s="417"/>
      <c r="Z825" s="417"/>
      <c r="AA825" s="417"/>
      <c r="AB825" s="417">
        <f>+M825*'Parametros Generales'!$C$6*'Parametros Generales'!$J$9</f>
        <v>0</v>
      </c>
      <c r="AC825" s="417">
        <f>+H825*'Parametros Generales'!$J$10*'Parametros Generales'!$C$6*'Parametros Generales'!$C$11</f>
        <v>0</v>
      </c>
      <c r="AD825" s="417"/>
      <c r="AE825" s="417"/>
      <c r="AF825" s="417"/>
      <c r="AG825" s="417"/>
      <c r="AH825" s="417"/>
      <c r="AI825" s="417"/>
      <c r="AJ825" s="417"/>
      <c r="AK825" s="436"/>
      <c r="AL825" s="822"/>
    </row>
    <row r="826" spans="1:38" s="33" customFormat="1" hidden="1" outlineLevel="1">
      <c r="A826" s="1150"/>
      <c r="B826" s="823">
        <f t="shared" si="64"/>
        <v>52</v>
      </c>
      <c r="C826" s="373" t="str">
        <f t="shared" si="65"/>
        <v>NARIÑO</v>
      </c>
      <c r="D826" s="374"/>
      <c r="E826" s="1122"/>
      <c r="F826" s="1104"/>
      <c r="G826" s="375"/>
      <c r="H826" s="1062"/>
      <c r="I826" s="1085"/>
      <c r="J826" s="1058"/>
      <c r="K826" s="1070" t="str">
        <f t="shared" si="62"/>
        <v>Ok</v>
      </c>
      <c r="L826" s="1077">
        <f t="shared" si="63"/>
        <v>0</v>
      </c>
      <c r="M826" s="1091">
        <f>+H826/'Parametros Generales'!$C$8</f>
        <v>0</v>
      </c>
      <c r="N826" s="1098"/>
      <c r="O826" s="1098"/>
      <c r="P826" s="1098"/>
      <c r="Q826" s="1098"/>
      <c r="R826" s="1098">
        <f>+(M826/'Parametros Generales'!$C$9)</f>
        <v>0</v>
      </c>
      <c r="S826" s="395"/>
      <c r="T826" s="395"/>
      <c r="U826" s="395"/>
      <c r="V826" s="396"/>
      <c r="W826" s="376">
        <f>+R826*'Componentes T.H.'!$Q$9*'Parametros Generales'!$C$6</f>
        <v>0</v>
      </c>
      <c r="X826" s="376">
        <f>(+VLOOKUP(C826,'Transporte y Viaticos'!$B$87:$L$120,2,0)*'Parametros Generales'!$C$7*R826)*(2/3)</f>
        <v>0</v>
      </c>
      <c r="Y826" s="417"/>
      <c r="Z826" s="417"/>
      <c r="AA826" s="417"/>
      <c r="AB826" s="417">
        <f>+M826*'Parametros Generales'!$C$6*'Parametros Generales'!$J$9</f>
        <v>0</v>
      </c>
      <c r="AC826" s="417">
        <f>+H826*'Parametros Generales'!$J$10*'Parametros Generales'!$C$6*'Parametros Generales'!$C$11</f>
        <v>0</v>
      </c>
      <c r="AD826" s="417"/>
      <c r="AE826" s="417"/>
      <c r="AF826" s="417"/>
      <c r="AG826" s="417"/>
      <c r="AH826" s="417"/>
      <c r="AI826" s="417"/>
      <c r="AJ826" s="417"/>
      <c r="AK826" s="436"/>
      <c r="AL826" s="822"/>
    </row>
    <row r="827" spans="1:38" s="33" customFormat="1" hidden="1" outlineLevel="1">
      <c r="A827" s="1150"/>
      <c r="B827" s="823">
        <f t="shared" si="64"/>
        <v>52</v>
      </c>
      <c r="C827" s="373" t="str">
        <f t="shared" si="65"/>
        <v>NARIÑO</v>
      </c>
      <c r="D827" s="374"/>
      <c r="E827" s="1122"/>
      <c r="F827" s="1104"/>
      <c r="G827" s="375"/>
      <c r="H827" s="1062"/>
      <c r="I827" s="1085"/>
      <c r="J827" s="1058"/>
      <c r="K827" s="1070" t="str">
        <f t="shared" si="62"/>
        <v>Ok</v>
      </c>
      <c r="L827" s="1077">
        <f t="shared" si="63"/>
        <v>0</v>
      </c>
      <c r="M827" s="1091">
        <f>+H827/'Parametros Generales'!$C$8</f>
        <v>0</v>
      </c>
      <c r="N827" s="1098"/>
      <c r="O827" s="1098"/>
      <c r="P827" s="1098"/>
      <c r="Q827" s="1098"/>
      <c r="R827" s="1098">
        <f>+(M827/'Parametros Generales'!$C$9)</f>
        <v>0</v>
      </c>
      <c r="S827" s="395"/>
      <c r="T827" s="395"/>
      <c r="U827" s="395"/>
      <c r="V827" s="396"/>
      <c r="W827" s="376">
        <f>+R827*'Componentes T.H.'!$Q$9*'Parametros Generales'!$C$6</f>
        <v>0</v>
      </c>
      <c r="X827" s="376">
        <f>(+VLOOKUP(C827,'Transporte y Viaticos'!$B$87:$L$120,2,0)*'Parametros Generales'!$C$7*R827)*(2/3)</f>
        <v>0</v>
      </c>
      <c r="Y827" s="417"/>
      <c r="Z827" s="417"/>
      <c r="AA827" s="417"/>
      <c r="AB827" s="417">
        <f>+M827*'Parametros Generales'!$C$6*'Parametros Generales'!$J$9</f>
        <v>0</v>
      </c>
      <c r="AC827" s="417">
        <f>+H827*'Parametros Generales'!$J$10*'Parametros Generales'!$C$6*'Parametros Generales'!$C$11</f>
        <v>0</v>
      </c>
      <c r="AD827" s="417"/>
      <c r="AE827" s="417"/>
      <c r="AF827" s="417"/>
      <c r="AG827" s="417"/>
      <c r="AH827" s="417"/>
      <c r="AI827" s="417"/>
      <c r="AJ827" s="417"/>
      <c r="AK827" s="436"/>
      <c r="AL827" s="822"/>
    </row>
    <row r="828" spans="1:38" s="33" customFormat="1" hidden="1" outlineLevel="1">
      <c r="A828" s="1150"/>
      <c r="B828" s="823">
        <f t="shared" si="64"/>
        <v>52</v>
      </c>
      <c r="C828" s="373" t="str">
        <f t="shared" si="65"/>
        <v>NARIÑO</v>
      </c>
      <c r="D828" s="374"/>
      <c r="E828" s="1122"/>
      <c r="F828" s="1104"/>
      <c r="G828" s="375"/>
      <c r="H828" s="1062"/>
      <c r="I828" s="1085"/>
      <c r="J828" s="1058"/>
      <c r="K828" s="1070" t="str">
        <f t="shared" si="62"/>
        <v>Ok</v>
      </c>
      <c r="L828" s="1077">
        <f t="shared" si="63"/>
        <v>0</v>
      </c>
      <c r="M828" s="1091">
        <f>+H828/'Parametros Generales'!$C$8</f>
        <v>0</v>
      </c>
      <c r="N828" s="1098"/>
      <c r="O828" s="1098"/>
      <c r="P828" s="1098"/>
      <c r="Q828" s="1098"/>
      <c r="R828" s="1098">
        <f>+(M828/'Parametros Generales'!$C$9)</f>
        <v>0</v>
      </c>
      <c r="S828" s="395"/>
      <c r="T828" s="395"/>
      <c r="U828" s="395"/>
      <c r="V828" s="396"/>
      <c r="W828" s="376">
        <f>+R828*'Componentes T.H.'!$Q$9*'Parametros Generales'!$C$6</f>
        <v>0</v>
      </c>
      <c r="X828" s="376">
        <f>(+VLOOKUP(C828,'Transporte y Viaticos'!$B$87:$L$120,2,0)*'Parametros Generales'!$C$7*R828)*(2/3)</f>
        <v>0</v>
      </c>
      <c r="Y828" s="417"/>
      <c r="Z828" s="417"/>
      <c r="AA828" s="417"/>
      <c r="AB828" s="417">
        <f>+M828*'Parametros Generales'!$C$6*'Parametros Generales'!$J$9</f>
        <v>0</v>
      </c>
      <c r="AC828" s="417">
        <f>+H828*'Parametros Generales'!$J$10*'Parametros Generales'!$C$6*'Parametros Generales'!$C$11</f>
        <v>0</v>
      </c>
      <c r="AD828" s="417"/>
      <c r="AE828" s="417"/>
      <c r="AF828" s="417"/>
      <c r="AG828" s="417"/>
      <c r="AH828" s="417"/>
      <c r="AI828" s="417"/>
      <c r="AJ828" s="417"/>
      <c r="AK828" s="436"/>
      <c r="AL828" s="822"/>
    </row>
    <row r="829" spans="1:38" s="33" customFormat="1" hidden="1" outlineLevel="1">
      <c r="A829" s="1150"/>
      <c r="B829" s="823">
        <f t="shared" si="64"/>
        <v>52</v>
      </c>
      <c r="C829" s="373" t="str">
        <f t="shared" si="65"/>
        <v>NARIÑO</v>
      </c>
      <c r="D829" s="374"/>
      <c r="E829" s="1122"/>
      <c r="F829" s="1104"/>
      <c r="G829" s="375"/>
      <c r="H829" s="1062"/>
      <c r="I829" s="1085"/>
      <c r="J829" s="1058"/>
      <c r="K829" s="1070" t="str">
        <f t="shared" si="62"/>
        <v>Ok</v>
      </c>
      <c r="L829" s="1077">
        <f t="shared" si="63"/>
        <v>0</v>
      </c>
      <c r="M829" s="1091">
        <f>+H829/'Parametros Generales'!$C$8</f>
        <v>0</v>
      </c>
      <c r="N829" s="1098"/>
      <c r="O829" s="1098"/>
      <c r="P829" s="1098"/>
      <c r="Q829" s="1098"/>
      <c r="R829" s="1098">
        <f>+(M829/'Parametros Generales'!$C$9)</f>
        <v>0</v>
      </c>
      <c r="S829" s="395"/>
      <c r="T829" s="395"/>
      <c r="U829" s="395"/>
      <c r="V829" s="396"/>
      <c r="W829" s="376">
        <f>+R829*'Componentes T.H.'!$Q$9*'Parametros Generales'!$C$6</f>
        <v>0</v>
      </c>
      <c r="X829" s="376">
        <f>(+VLOOKUP(C829,'Transporte y Viaticos'!$B$87:$L$120,2,0)*'Parametros Generales'!$C$7*R829)*(2/3)</f>
        <v>0</v>
      </c>
      <c r="Y829" s="417"/>
      <c r="Z829" s="417"/>
      <c r="AA829" s="417"/>
      <c r="AB829" s="417">
        <f>+M829*'Parametros Generales'!$C$6*'Parametros Generales'!$J$9</f>
        <v>0</v>
      </c>
      <c r="AC829" s="417">
        <f>+H829*'Parametros Generales'!$J$10*'Parametros Generales'!$C$6*'Parametros Generales'!$C$11</f>
        <v>0</v>
      </c>
      <c r="AD829" s="417"/>
      <c r="AE829" s="417"/>
      <c r="AF829" s="417"/>
      <c r="AG829" s="417"/>
      <c r="AH829" s="417"/>
      <c r="AI829" s="417"/>
      <c r="AJ829" s="417"/>
      <c r="AK829" s="436"/>
      <c r="AL829" s="822"/>
    </row>
    <row r="830" spans="1:38" s="33" customFormat="1" hidden="1" outlineLevel="1">
      <c r="A830" s="1150"/>
      <c r="B830" s="823">
        <f t="shared" si="64"/>
        <v>52</v>
      </c>
      <c r="C830" s="373" t="str">
        <f t="shared" si="65"/>
        <v>NARIÑO</v>
      </c>
      <c r="D830" s="374"/>
      <c r="E830" s="1122"/>
      <c r="F830" s="1104"/>
      <c r="G830" s="375"/>
      <c r="H830" s="1062"/>
      <c r="I830" s="1085"/>
      <c r="J830" s="1058"/>
      <c r="K830" s="1070" t="str">
        <f t="shared" si="62"/>
        <v>Ok</v>
      </c>
      <c r="L830" s="1077">
        <f t="shared" si="63"/>
        <v>0</v>
      </c>
      <c r="M830" s="1091">
        <f>+H830/'Parametros Generales'!$C$8</f>
        <v>0</v>
      </c>
      <c r="N830" s="1098"/>
      <c r="O830" s="1098"/>
      <c r="P830" s="1098"/>
      <c r="Q830" s="1098"/>
      <c r="R830" s="1098">
        <f>+(M830/'Parametros Generales'!$C$9)</f>
        <v>0</v>
      </c>
      <c r="S830" s="395"/>
      <c r="T830" s="395"/>
      <c r="U830" s="395"/>
      <c r="V830" s="396"/>
      <c r="W830" s="376">
        <f>+R830*'Componentes T.H.'!$Q$9*'Parametros Generales'!$C$6</f>
        <v>0</v>
      </c>
      <c r="X830" s="376">
        <f>(+VLOOKUP(C830,'Transporte y Viaticos'!$B$87:$L$120,2,0)*'Parametros Generales'!$C$7*R830)*(2/3)</f>
        <v>0</v>
      </c>
      <c r="Y830" s="417"/>
      <c r="Z830" s="417"/>
      <c r="AA830" s="417"/>
      <c r="AB830" s="417">
        <f>+M830*'Parametros Generales'!$C$6*'Parametros Generales'!$J$9</f>
        <v>0</v>
      </c>
      <c r="AC830" s="417">
        <f>+H830*'Parametros Generales'!$J$10*'Parametros Generales'!$C$6*'Parametros Generales'!$C$11</f>
        <v>0</v>
      </c>
      <c r="AD830" s="417"/>
      <c r="AE830" s="417"/>
      <c r="AF830" s="417"/>
      <c r="AG830" s="417"/>
      <c r="AH830" s="417"/>
      <c r="AI830" s="417"/>
      <c r="AJ830" s="417"/>
      <c r="AK830" s="436"/>
      <c r="AL830" s="822"/>
    </row>
    <row r="831" spans="1:38" s="33" customFormat="1" hidden="1" outlineLevel="1">
      <c r="A831" s="1150"/>
      <c r="B831" s="823">
        <f t="shared" si="64"/>
        <v>52</v>
      </c>
      <c r="C831" s="373" t="str">
        <f t="shared" si="65"/>
        <v>NARIÑO</v>
      </c>
      <c r="D831" s="374"/>
      <c r="E831" s="1122"/>
      <c r="F831" s="1104"/>
      <c r="G831" s="375"/>
      <c r="H831" s="1062"/>
      <c r="I831" s="1085"/>
      <c r="J831" s="1058"/>
      <c r="K831" s="1070" t="str">
        <f t="shared" si="62"/>
        <v>Ok</v>
      </c>
      <c r="L831" s="1077">
        <f t="shared" si="63"/>
        <v>0</v>
      </c>
      <c r="M831" s="1091">
        <f>+H831/'Parametros Generales'!$C$8</f>
        <v>0</v>
      </c>
      <c r="N831" s="1098"/>
      <c r="O831" s="1098"/>
      <c r="P831" s="1098"/>
      <c r="Q831" s="1098"/>
      <c r="R831" s="1098">
        <f>+(M831/'Parametros Generales'!$C$9)</f>
        <v>0</v>
      </c>
      <c r="S831" s="395"/>
      <c r="T831" s="395"/>
      <c r="U831" s="395"/>
      <c r="V831" s="396"/>
      <c r="W831" s="376">
        <f>+R831*'Componentes T.H.'!$Q$9*'Parametros Generales'!$C$6</f>
        <v>0</v>
      </c>
      <c r="X831" s="376">
        <f>(+VLOOKUP(C831,'Transporte y Viaticos'!$B$87:$L$120,2,0)*'Parametros Generales'!$C$7*R831)*(2/3)</f>
        <v>0</v>
      </c>
      <c r="Y831" s="417"/>
      <c r="Z831" s="417"/>
      <c r="AA831" s="417"/>
      <c r="AB831" s="417">
        <f>+M831*'Parametros Generales'!$C$6*'Parametros Generales'!$J$9</f>
        <v>0</v>
      </c>
      <c r="AC831" s="417">
        <f>+H831*'Parametros Generales'!$J$10*'Parametros Generales'!$C$6*'Parametros Generales'!$C$11</f>
        <v>0</v>
      </c>
      <c r="AD831" s="417"/>
      <c r="AE831" s="417"/>
      <c r="AF831" s="417"/>
      <c r="AG831" s="417"/>
      <c r="AH831" s="417"/>
      <c r="AI831" s="417"/>
      <c r="AJ831" s="417"/>
      <c r="AK831" s="436"/>
      <c r="AL831" s="822"/>
    </row>
    <row r="832" spans="1:38" s="33" customFormat="1" hidden="1" outlineLevel="1">
      <c r="A832" s="1150"/>
      <c r="B832" s="823">
        <f t="shared" si="64"/>
        <v>52</v>
      </c>
      <c r="C832" s="373" t="str">
        <f t="shared" si="65"/>
        <v>NARIÑO</v>
      </c>
      <c r="D832" s="374"/>
      <c r="E832" s="1122"/>
      <c r="F832" s="1104"/>
      <c r="G832" s="375"/>
      <c r="H832" s="1062"/>
      <c r="I832" s="1085"/>
      <c r="J832" s="1058"/>
      <c r="K832" s="1070" t="str">
        <f t="shared" si="62"/>
        <v>Ok</v>
      </c>
      <c r="L832" s="1077">
        <f t="shared" si="63"/>
        <v>0</v>
      </c>
      <c r="M832" s="1091">
        <f>+H832/'Parametros Generales'!$C$8</f>
        <v>0</v>
      </c>
      <c r="N832" s="1098"/>
      <c r="O832" s="1098"/>
      <c r="P832" s="1098"/>
      <c r="Q832" s="1098"/>
      <c r="R832" s="1098">
        <f>+(M832/'Parametros Generales'!$C$9)</f>
        <v>0</v>
      </c>
      <c r="S832" s="395"/>
      <c r="T832" s="395"/>
      <c r="U832" s="395"/>
      <c r="V832" s="396"/>
      <c r="W832" s="376">
        <f>+R832*'Componentes T.H.'!$Q$9*'Parametros Generales'!$C$6</f>
        <v>0</v>
      </c>
      <c r="X832" s="376">
        <f>(+VLOOKUP(C832,'Transporte y Viaticos'!$B$87:$L$120,2,0)*'Parametros Generales'!$C$7*R832)*(2/3)</f>
        <v>0</v>
      </c>
      <c r="Y832" s="417"/>
      <c r="Z832" s="417"/>
      <c r="AA832" s="417"/>
      <c r="AB832" s="417">
        <f>+M832*'Parametros Generales'!$C$6*'Parametros Generales'!$J$9</f>
        <v>0</v>
      </c>
      <c r="AC832" s="417">
        <f>+H832*'Parametros Generales'!$J$10*'Parametros Generales'!$C$6*'Parametros Generales'!$C$11</f>
        <v>0</v>
      </c>
      <c r="AD832" s="417"/>
      <c r="AE832" s="417"/>
      <c r="AF832" s="417"/>
      <c r="AG832" s="417"/>
      <c r="AH832" s="417"/>
      <c r="AI832" s="417"/>
      <c r="AJ832" s="417"/>
      <c r="AK832" s="436"/>
      <c r="AL832" s="822"/>
    </row>
    <row r="833" spans="1:38" s="33" customFormat="1" hidden="1" outlineLevel="1">
      <c r="A833" s="1150"/>
      <c r="B833" s="823">
        <f t="shared" si="64"/>
        <v>52</v>
      </c>
      <c r="C833" s="373" t="str">
        <f t="shared" si="65"/>
        <v>NARIÑO</v>
      </c>
      <c r="D833" s="374"/>
      <c r="E833" s="1122"/>
      <c r="F833" s="1104"/>
      <c r="G833" s="375"/>
      <c r="H833" s="1062"/>
      <c r="I833" s="1085"/>
      <c r="J833" s="1058"/>
      <c r="K833" s="1070" t="str">
        <f t="shared" si="62"/>
        <v>Ok</v>
      </c>
      <c r="L833" s="1077">
        <f t="shared" si="63"/>
        <v>0</v>
      </c>
      <c r="M833" s="1091">
        <f>+H833/'Parametros Generales'!$C$8</f>
        <v>0</v>
      </c>
      <c r="N833" s="1098"/>
      <c r="O833" s="1098"/>
      <c r="P833" s="1098"/>
      <c r="Q833" s="1098"/>
      <c r="R833" s="1098">
        <f>+(M833/'Parametros Generales'!$C$9)</f>
        <v>0</v>
      </c>
      <c r="S833" s="395"/>
      <c r="T833" s="395"/>
      <c r="U833" s="395"/>
      <c r="V833" s="396"/>
      <c r="W833" s="376">
        <f>+R833*'Componentes T.H.'!$Q$9*'Parametros Generales'!$C$6</f>
        <v>0</v>
      </c>
      <c r="X833" s="376">
        <f>(+VLOOKUP(C833,'Transporte y Viaticos'!$B$87:$L$120,2,0)*'Parametros Generales'!$C$7*R833)*(2/3)</f>
        <v>0</v>
      </c>
      <c r="Y833" s="417"/>
      <c r="Z833" s="417"/>
      <c r="AA833" s="417"/>
      <c r="AB833" s="417">
        <f>+M833*'Parametros Generales'!$C$6*'Parametros Generales'!$J$9</f>
        <v>0</v>
      </c>
      <c r="AC833" s="417">
        <f>+H833*'Parametros Generales'!$J$10*'Parametros Generales'!$C$6*'Parametros Generales'!$C$11</f>
        <v>0</v>
      </c>
      <c r="AD833" s="417"/>
      <c r="AE833" s="417"/>
      <c r="AF833" s="417"/>
      <c r="AG833" s="417"/>
      <c r="AH833" s="417"/>
      <c r="AI833" s="417"/>
      <c r="AJ833" s="417"/>
      <c r="AK833" s="436"/>
      <c r="AL833" s="822"/>
    </row>
    <row r="834" spans="1:38" s="33" customFormat="1" hidden="1" outlineLevel="1">
      <c r="A834" s="1150"/>
      <c r="B834" s="823">
        <f t="shared" si="64"/>
        <v>52</v>
      </c>
      <c r="C834" s="373" t="str">
        <f t="shared" si="65"/>
        <v>NARIÑO</v>
      </c>
      <c r="D834" s="374"/>
      <c r="E834" s="1122"/>
      <c r="F834" s="1104"/>
      <c r="G834" s="375"/>
      <c r="H834" s="1062"/>
      <c r="I834" s="1085"/>
      <c r="J834" s="1058"/>
      <c r="K834" s="1070" t="str">
        <f t="shared" si="62"/>
        <v>Ok</v>
      </c>
      <c r="L834" s="1077">
        <f t="shared" si="63"/>
        <v>0</v>
      </c>
      <c r="M834" s="1091">
        <f>+H834/'Parametros Generales'!$C$8</f>
        <v>0</v>
      </c>
      <c r="N834" s="1098"/>
      <c r="O834" s="1098"/>
      <c r="P834" s="1098"/>
      <c r="Q834" s="1098"/>
      <c r="R834" s="1098">
        <f>+(M834/'Parametros Generales'!$C$9)</f>
        <v>0</v>
      </c>
      <c r="S834" s="395"/>
      <c r="T834" s="395"/>
      <c r="U834" s="395"/>
      <c r="V834" s="396"/>
      <c r="W834" s="376">
        <f>+R834*'Componentes T.H.'!$Q$9*'Parametros Generales'!$C$6</f>
        <v>0</v>
      </c>
      <c r="X834" s="376">
        <f>(+VLOOKUP(C834,'Transporte y Viaticos'!$B$87:$L$120,2,0)*'Parametros Generales'!$C$7*R834)*(2/3)</f>
        <v>0</v>
      </c>
      <c r="Y834" s="417"/>
      <c r="Z834" s="417"/>
      <c r="AA834" s="417"/>
      <c r="AB834" s="417">
        <f>+M834*'Parametros Generales'!$C$6*'Parametros Generales'!$J$9</f>
        <v>0</v>
      </c>
      <c r="AC834" s="417">
        <f>+H834*'Parametros Generales'!$J$10*'Parametros Generales'!$C$6*'Parametros Generales'!$C$11</f>
        <v>0</v>
      </c>
      <c r="AD834" s="417"/>
      <c r="AE834" s="417"/>
      <c r="AF834" s="417"/>
      <c r="AG834" s="417"/>
      <c r="AH834" s="417"/>
      <c r="AI834" s="417"/>
      <c r="AJ834" s="417"/>
      <c r="AK834" s="436"/>
      <c r="AL834" s="822"/>
    </row>
    <row r="835" spans="1:38" s="33" customFormat="1" hidden="1" outlineLevel="1">
      <c r="A835" s="1150"/>
      <c r="B835" s="823">
        <f t="shared" si="64"/>
        <v>52</v>
      </c>
      <c r="C835" s="373" t="str">
        <f t="shared" si="65"/>
        <v>NARIÑO</v>
      </c>
      <c r="D835" s="374"/>
      <c r="E835" s="1122"/>
      <c r="F835" s="1104"/>
      <c r="G835" s="375"/>
      <c r="H835" s="1062"/>
      <c r="I835" s="1085"/>
      <c r="J835" s="1058"/>
      <c r="K835" s="1070" t="str">
        <f t="shared" ref="K835:K898" si="66">+IF(I835=E835,"Ok","Rev")</f>
        <v>Ok</v>
      </c>
      <c r="L835" s="1077">
        <f t="shared" ref="L835:L898" si="67">+J835-H835</f>
        <v>0</v>
      </c>
      <c r="M835" s="1091">
        <f>+H835/'Parametros Generales'!$C$8</f>
        <v>0</v>
      </c>
      <c r="N835" s="1098"/>
      <c r="O835" s="1098"/>
      <c r="P835" s="1098"/>
      <c r="Q835" s="1098"/>
      <c r="R835" s="1098">
        <f>+(M835/'Parametros Generales'!$C$9)</f>
        <v>0</v>
      </c>
      <c r="S835" s="395"/>
      <c r="T835" s="395"/>
      <c r="U835" s="395"/>
      <c r="V835" s="396"/>
      <c r="W835" s="376">
        <f>+R835*'Componentes T.H.'!$Q$9*'Parametros Generales'!$C$6</f>
        <v>0</v>
      </c>
      <c r="X835" s="376">
        <f>(+VLOOKUP(C835,'Transporte y Viaticos'!$B$87:$L$120,2,0)*'Parametros Generales'!$C$7*R835)*(2/3)</f>
        <v>0</v>
      </c>
      <c r="Y835" s="417"/>
      <c r="Z835" s="417"/>
      <c r="AA835" s="417"/>
      <c r="AB835" s="417">
        <f>+M835*'Parametros Generales'!$C$6*'Parametros Generales'!$J$9</f>
        <v>0</v>
      </c>
      <c r="AC835" s="417">
        <f>+H835*'Parametros Generales'!$J$10*'Parametros Generales'!$C$6*'Parametros Generales'!$C$11</f>
        <v>0</v>
      </c>
      <c r="AD835" s="417"/>
      <c r="AE835" s="417"/>
      <c r="AF835" s="417"/>
      <c r="AG835" s="417"/>
      <c r="AH835" s="417"/>
      <c r="AI835" s="417"/>
      <c r="AJ835" s="417"/>
      <c r="AK835" s="436"/>
      <c r="AL835" s="822"/>
    </row>
    <row r="836" spans="1:38" s="33" customFormat="1" hidden="1" outlineLevel="1">
      <c r="A836" s="1150"/>
      <c r="B836" s="823">
        <f t="shared" si="64"/>
        <v>52</v>
      </c>
      <c r="C836" s="373" t="str">
        <f t="shared" si="65"/>
        <v>NARIÑO</v>
      </c>
      <c r="D836" s="374"/>
      <c r="E836" s="1122"/>
      <c r="F836" s="1104"/>
      <c r="G836" s="375"/>
      <c r="H836" s="1062"/>
      <c r="I836" s="1085"/>
      <c r="J836" s="1058"/>
      <c r="K836" s="1070" t="str">
        <f t="shared" si="66"/>
        <v>Ok</v>
      </c>
      <c r="L836" s="1077">
        <f t="shared" si="67"/>
        <v>0</v>
      </c>
      <c r="M836" s="1091">
        <f>+H836/'Parametros Generales'!$C$8</f>
        <v>0</v>
      </c>
      <c r="N836" s="1098"/>
      <c r="O836" s="1098"/>
      <c r="P836" s="1098"/>
      <c r="Q836" s="1098"/>
      <c r="R836" s="1098">
        <f>+(M836/'Parametros Generales'!$C$9)</f>
        <v>0</v>
      </c>
      <c r="S836" s="395"/>
      <c r="T836" s="395"/>
      <c r="U836" s="395"/>
      <c r="V836" s="396"/>
      <c r="W836" s="376">
        <f>+R836*'Componentes T.H.'!$Q$9*'Parametros Generales'!$C$6</f>
        <v>0</v>
      </c>
      <c r="X836" s="376">
        <f>(+VLOOKUP(C836,'Transporte y Viaticos'!$B$87:$L$120,2,0)*'Parametros Generales'!$C$7*R836)*(2/3)</f>
        <v>0</v>
      </c>
      <c r="Y836" s="417"/>
      <c r="Z836" s="417"/>
      <c r="AA836" s="417"/>
      <c r="AB836" s="417">
        <f>+M836*'Parametros Generales'!$C$6*'Parametros Generales'!$J$9</f>
        <v>0</v>
      </c>
      <c r="AC836" s="417">
        <f>+H836*'Parametros Generales'!$J$10*'Parametros Generales'!$C$6*'Parametros Generales'!$C$11</f>
        <v>0</v>
      </c>
      <c r="AD836" s="417"/>
      <c r="AE836" s="417"/>
      <c r="AF836" s="417"/>
      <c r="AG836" s="417"/>
      <c r="AH836" s="417"/>
      <c r="AI836" s="417"/>
      <c r="AJ836" s="417"/>
      <c r="AK836" s="436"/>
      <c r="AL836" s="822"/>
    </row>
    <row r="837" spans="1:38" s="33" customFormat="1" hidden="1" outlineLevel="1">
      <c r="A837" s="1150"/>
      <c r="B837" s="823">
        <f t="shared" si="64"/>
        <v>52</v>
      </c>
      <c r="C837" s="373" t="str">
        <f t="shared" si="65"/>
        <v>NARIÑO</v>
      </c>
      <c r="D837" s="374"/>
      <c r="E837" s="1122"/>
      <c r="F837" s="1104"/>
      <c r="G837" s="375"/>
      <c r="H837" s="1062"/>
      <c r="I837" s="1085"/>
      <c r="J837" s="1058"/>
      <c r="K837" s="1070" t="str">
        <f t="shared" si="66"/>
        <v>Ok</v>
      </c>
      <c r="L837" s="1077">
        <f t="shared" si="67"/>
        <v>0</v>
      </c>
      <c r="M837" s="1091">
        <f>+H837/'Parametros Generales'!$C$8</f>
        <v>0</v>
      </c>
      <c r="N837" s="1098"/>
      <c r="O837" s="1098"/>
      <c r="P837" s="1098"/>
      <c r="Q837" s="1098"/>
      <c r="R837" s="1098">
        <f>+(M837/'Parametros Generales'!$C$9)</f>
        <v>0</v>
      </c>
      <c r="S837" s="395"/>
      <c r="T837" s="395"/>
      <c r="U837" s="395"/>
      <c r="V837" s="396"/>
      <c r="W837" s="376">
        <f>+R837*'Componentes T.H.'!$Q$9*'Parametros Generales'!$C$6</f>
        <v>0</v>
      </c>
      <c r="X837" s="376">
        <f>(+VLOOKUP(C837,'Transporte y Viaticos'!$B$87:$L$120,2,0)*'Parametros Generales'!$C$7*R837)*(2/3)</f>
        <v>0</v>
      </c>
      <c r="Y837" s="417"/>
      <c r="Z837" s="417"/>
      <c r="AA837" s="417"/>
      <c r="AB837" s="417">
        <f>+M837*'Parametros Generales'!$C$6*'Parametros Generales'!$J$9</f>
        <v>0</v>
      </c>
      <c r="AC837" s="417">
        <f>+H837*'Parametros Generales'!$J$10*'Parametros Generales'!$C$6*'Parametros Generales'!$C$11</f>
        <v>0</v>
      </c>
      <c r="AD837" s="417"/>
      <c r="AE837" s="417"/>
      <c r="AF837" s="417"/>
      <c r="AG837" s="417"/>
      <c r="AH837" s="417"/>
      <c r="AI837" s="417"/>
      <c r="AJ837" s="417"/>
      <c r="AK837" s="436"/>
      <c r="AL837" s="822"/>
    </row>
    <row r="838" spans="1:38" s="392" customFormat="1" collapsed="1">
      <c r="A838" s="1151">
        <v>19</v>
      </c>
      <c r="B838" s="824">
        <v>54</v>
      </c>
      <c r="C838" s="385" t="s">
        <v>540</v>
      </c>
      <c r="D838" s="923"/>
      <c r="E838" s="1114" t="s">
        <v>540</v>
      </c>
      <c r="F838" s="1105">
        <f>SUM(F839:F856)</f>
        <v>18</v>
      </c>
      <c r="G838" s="388">
        <f>+SUM(G839:G856)</f>
        <v>5214</v>
      </c>
      <c r="H838" s="512">
        <f>+SUM(H839:H870)</f>
        <v>4700</v>
      </c>
      <c r="I838" s="1057" t="s">
        <v>540</v>
      </c>
      <c r="J838" s="1067">
        <v>4700</v>
      </c>
      <c r="K838" s="1069" t="str">
        <f t="shared" si="66"/>
        <v>Ok</v>
      </c>
      <c r="L838" s="1077">
        <f t="shared" si="67"/>
        <v>0</v>
      </c>
      <c r="M838" s="512">
        <f>+SUM(M839:M870)</f>
        <v>188</v>
      </c>
      <c r="N838" s="1073">
        <f>+VLOOKUP(H838,'Parametros Generales'!$B$14:$D$17,3,TRUE)</f>
        <v>0.6</v>
      </c>
      <c r="O838" s="1073">
        <f>+VLOOKUP(H838,'Parametros Generales'!$B$14:$D$17,3,TRUE)</f>
        <v>0.6</v>
      </c>
      <c r="P838" s="1073">
        <f>+VLOOKUP(H838,'Parametros Generales'!$B$14:$D$17,3,TRUE)</f>
        <v>0.6</v>
      </c>
      <c r="Q838" s="1073">
        <f>+R838/'Parametros Generales'!$C$10</f>
        <v>5.875</v>
      </c>
      <c r="R838" s="512">
        <f>+SUM(R839:R870)</f>
        <v>47</v>
      </c>
      <c r="S838" s="390">
        <f>+VLOOKUP(S$1,'Componentes T.H.'!$B$4:$R$22,'Componentes T.H.'!$Q$1,0)*'Parametros Generales'!$C$6*'Cost x Depart'!N838</f>
        <v>8794058.4826000016</v>
      </c>
      <c r="T838" s="390">
        <f>+VLOOKUP(T$1,'Componentes T.H.'!$B$4:$R$22,'Componentes T.H.'!$Q$1,0)*'Parametros Generales'!$C$6*'Cost x Depart'!O838</f>
        <v>6626289.3953999998</v>
      </c>
      <c r="U838" s="390">
        <f>+VLOOKUP(U$1,'Componentes T.H.'!$B$4:$R$22,'Componentes T.H.'!$Q$1,0)*'Parametros Generales'!$C$6*'Cost x Depart'!P838</f>
        <v>2934259.1999999997</v>
      </c>
      <c r="V838" s="389">
        <f>+VLOOKUP(V$1,'Componentes T.H.'!$B$4:$R$22,'Componentes T.H.'!$Q$1,0)*'Parametros Generales'!$C$6*'Cost x Depart'!Q838</f>
        <v>58697404.264208332</v>
      </c>
      <c r="W838" s="512">
        <f>+SUM(W839:W870)</f>
        <v>235869832.33699995</v>
      </c>
      <c r="X838" s="512">
        <f>+SUM(X839:X870)</f>
        <v>41680029.943940483</v>
      </c>
      <c r="Y838" s="391">
        <f>+VLOOKUP(C839,'Transporte y Viaticos'!$B$87:$F$120,2,0)*((O838/'Parametros Generales'!$J$14)+(Q838/'Parametros Generales'!$J$15)+(R838/'Parametros Generales'!$J$16))*'Parametros Generales'!$C$6</f>
        <v>1993657.8152706632</v>
      </c>
      <c r="Z838" s="391">
        <f>+(N838+O838+Q838)*'Parametros Generales'!$C$6*'Parametros Generales'!$J$7</f>
        <v>1391086.5</v>
      </c>
      <c r="AA838" s="391">
        <f>+SUM(N838:R838)*'Parametros Generales'!$C$6*'Parametros Generales'!$J$8</f>
        <v>9814162.5</v>
      </c>
      <c r="AB838" s="512">
        <f>+SUM(AB839:AB870)</f>
        <v>91538909.090909123</v>
      </c>
      <c r="AC838" s="512">
        <f>+SUM(AC839:AC870)</f>
        <v>346354721.03393835</v>
      </c>
      <c r="AD838" s="391">
        <f>+'Parametros Generales'!$J$11*SUM(N838:R838)</f>
        <v>1839267</v>
      </c>
      <c r="AE838" s="436">
        <f>+SUM(S838:AD838)</f>
        <v>807533677.56326687</v>
      </c>
      <c r="AF838" s="391">
        <f>+AE838*(SUM('Res de Costos Pais'!G117:G117))</f>
        <v>55316056.913083784</v>
      </c>
      <c r="AG838" s="391">
        <f>+AE838+AF838</f>
        <v>862849734.47635067</v>
      </c>
      <c r="AH838" s="391">
        <f>+AG838*SUM('Res de Costos Pais'!$G$123:$G$124)</f>
        <v>8335128.4350415478</v>
      </c>
      <c r="AI838" s="391">
        <f>+(AG838+AH838)*'Res de Costos Pais'!$G$136</f>
        <v>2352199.1298607592</v>
      </c>
      <c r="AJ838" s="391">
        <f>+(AG838+AH838+AI838)*'Res de Costos Pais'!$G$140</f>
        <v>3494148.2481650119</v>
      </c>
      <c r="AK838" s="391">
        <f>+AG838+AH838+AI838+AJ838</f>
        <v>877031210.28941798</v>
      </c>
      <c r="AL838" s="820">
        <f>IF(ISERROR((+(AK838/H838)/'Parametros Generales'!$C$6)),0,(+(AK838/H838)/'Parametros Generales'!$C$6))</f>
        <v>37320.477033592251</v>
      </c>
    </row>
    <row r="839" spans="1:38" s="33" customFormat="1" hidden="1" outlineLevel="1">
      <c r="A839" s="1150"/>
      <c r="B839" s="819">
        <v>54</v>
      </c>
      <c r="C839" s="377" t="s">
        <v>540</v>
      </c>
      <c r="D839" s="378">
        <f>+VLOOKUP(E839,Codigos!$A$1:$B$1123,2,0)</f>
        <v>54001</v>
      </c>
      <c r="E839" s="1110" t="s">
        <v>2120</v>
      </c>
      <c r="F839" s="1102">
        <v>1</v>
      </c>
      <c r="G839" s="379">
        <v>1452</v>
      </c>
      <c r="H839" s="1060">
        <f>CEILING((G839+40-300),'Parametros Generales'!$C$8)</f>
        <v>1200</v>
      </c>
      <c r="I839" s="1057" t="s">
        <v>541</v>
      </c>
      <c r="J839" s="1058">
        <v>1200</v>
      </c>
      <c r="K839" s="1070" t="str">
        <f t="shared" si="66"/>
        <v>Ok</v>
      </c>
      <c r="L839" s="1077">
        <f t="shared" si="67"/>
        <v>0</v>
      </c>
      <c r="M839" s="1089">
        <f>+H839/'Parametros Generales'!$C$8</f>
        <v>48</v>
      </c>
      <c r="N839" s="1096"/>
      <c r="O839" s="1096"/>
      <c r="P839" s="1096"/>
      <c r="Q839" s="1096"/>
      <c r="R839" s="1096">
        <f>+(M839/'Parametros Generales'!$C$9)</f>
        <v>12</v>
      </c>
      <c r="S839" s="393"/>
      <c r="T839" s="393"/>
      <c r="U839" s="393"/>
      <c r="V839" s="394"/>
      <c r="W839" s="380">
        <f>+R839*'Componentes T.H.'!$Q$9*'Parametros Generales'!$C$6</f>
        <v>60222084.851999998</v>
      </c>
      <c r="X839" s="380">
        <f>(+VLOOKUP(C839,'Transporte y Viaticos'!$B$87:$L$120,2,0)*'Parametros Generales'!$C$7*R839)*(2/3)</f>
        <v>10641709.77292097</v>
      </c>
      <c r="Y839" s="417"/>
      <c r="Z839" s="417"/>
      <c r="AA839" s="417"/>
      <c r="AB839" s="417">
        <f>+M839*'Parametros Generales'!$C$6*'Parametros Generales'!$J$9</f>
        <v>23371636.363636371</v>
      </c>
      <c r="AC839" s="417">
        <f>+H839*'Parametros Generales'!$J$10*'Parametros Generales'!$C$6*'Parametros Generales'!$C$11</f>
        <v>88430992.604409769</v>
      </c>
      <c r="AD839" s="417"/>
      <c r="AE839" s="417"/>
      <c r="AF839" s="417"/>
      <c r="AG839" s="417"/>
      <c r="AH839" s="417"/>
      <c r="AI839" s="417"/>
      <c r="AJ839" s="417"/>
      <c r="AK839" s="436"/>
      <c r="AL839" s="822"/>
    </row>
    <row r="840" spans="1:38" s="33" customFormat="1" hidden="1" outlineLevel="1">
      <c r="A840" s="1150"/>
      <c r="B840" s="821">
        <v>54</v>
      </c>
      <c r="C840" s="371" t="s">
        <v>540</v>
      </c>
      <c r="D840" s="31">
        <f>+VLOOKUP(E840,Codigos!$A$1:$B$1123,2,0)</f>
        <v>54003</v>
      </c>
      <c r="E840" s="1111" t="s">
        <v>2121</v>
      </c>
      <c r="F840" s="1103">
        <v>1</v>
      </c>
      <c r="G840" s="30">
        <v>198</v>
      </c>
      <c r="H840" s="1061">
        <f>CEILING((G840-50),'Parametros Generales'!$C$8)</f>
        <v>150</v>
      </c>
      <c r="I840" s="1057" t="s">
        <v>542</v>
      </c>
      <c r="J840" s="1058">
        <v>150</v>
      </c>
      <c r="K840" s="1070" t="str">
        <f t="shared" si="66"/>
        <v>Ok</v>
      </c>
      <c r="L840" s="1077">
        <f t="shared" si="67"/>
        <v>0</v>
      </c>
      <c r="M840" s="1090">
        <f>+H840/'Parametros Generales'!$C$8</f>
        <v>6</v>
      </c>
      <c r="N840" s="1097"/>
      <c r="O840" s="1097"/>
      <c r="P840" s="1097"/>
      <c r="Q840" s="1097"/>
      <c r="R840" s="1097">
        <f>+(M840/'Parametros Generales'!$C$9)</f>
        <v>1.5</v>
      </c>
      <c r="S840" s="390"/>
      <c r="T840" s="390"/>
      <c r="U840" s="390"/>
      <c r="V840" s="389"/>
      <c r="W840" s="32">
        <f>+R840*'Componentes T.H.'!$Q$9*'Parametros Generales'!$C$6</f>
        <v>7527760.6064999998</v>
      </c>
      <c r="X840" s="32">
        <f>(+VLOOKUP(C840,'Transporte y Viaticos'!$B$87:$L$120,2,0)*'Parametros Generales'!$C$7*R840)*(2/3)</f>
        <v>1330213.7216151212</v>
      </c>
      <c r="Y840" s="417"/>
      <c r="Z840" s="417"/>
      <c r="AA840" s="417"/>
      <c r="AB840" s="417">
        <f>+M840*'Parametros Generales'!$C$6*'Parametros Generales'!$J$9</f>
        <v>2921454.5454545463</v>
      </c>
      <c r="AC840" s="417">
        <f>+H840*'Parametros Generales'!$J$10*'Parametros Generales'!$C$6*'Parametros Generales'!$C$11</f>
        <v>11053874.075551221</v>
      </c>
      <c r="AD840" s="417"/>
      <c r="AE840" s="417"/>
      <c r="AF840" s="417"/>
      <c r="AG840" s="417"/>
      <c r="AH840" s="417"/>
      <c r="AI840" s="417"/>
      <c r="AJ840" s="417"/>
      <c r="AK840" s="436"/>
      <c r="AL840" s="822"/>
    </row>
    <row r="841" spans="1:38" s="33" customFormat="1" hidden="1" outlineLevel="1">
      <c r="A841" s="1150"/>
      <c r="B841" s="821">
        <v>54</v>
      </c>
      <c r="C841" s="371" t="s">
        <v>540</v>
      </c>
      <c r="D841" s="31">
        <f>+VLOOKUP(E841,Codigos!$A$1:$B$1123,2,0)</f>
        <v>54128</v>
      </c>
      <c r="E841" s="1111" t="s">
        <v>2122</v>
      </c>
      <c r="F841" s="1103">
        <v>1</v>
      </c>
      <c r="G841" s="30">
        <v>198</v>
      </c>
      <c r="H841" s="1061">
        <f>CEILING(G841,'Parametros Generales'!$C$8)</f>
        <v>200</v>
      </c>
      <c r="I841" s="1057" t="s">
        <v>543</v>
      </c>
      <c r="J841" s="1058">
        <v>200</v>
      </c>
      <c r="K841" s="1070" t="str">
        <f t="shared" si="66"/>
        <v>Ok</v>
      </c>
      <c r="L841" s="1076">
        <f t="shared" si="67"/>
        <v>0</v>
      </c>
      <c r="M841" s="1090">
        <f>+H841/'Parametros Generales'!$C$8</f>
        <v>8</v>
      </c>
      <c r="N841" s="1097"/>
      <c r="O841" s="1097"/>
      <c r="P841" s="1097"/>
      <c r="Q841" s="1097"/>
      <c r="R841" s="1097">
        <f>+(M841/'Parametros Generales'!$C$9)</f>
        <v>2</v>
      </c>
      <c r="S841" s="390"/>
      <c r="T841" s="390"/>
      <c r="U841" s="390"/>
      <c r="V841" s="389"/>
      <c r="W841" s="32">
        <f>+R841*'Componentes T.H.'!$Q$9*'Parametros Generales'!$C$6</f>
        <v>10037014.142000001</v>
      </c>
      <c r="X841" s="32">
        <f>(+VLOOKUP(C841,'Transporte y Viaticos'!$B$87:$L$120,2,0)*'Parametros Generales'!$C$7*R841)*(2/3)</f>
        <v>1773618.2954868285</v>
      </c>
      <c r="Y841" s="417"/>
      <c r="Z841" s="417"/>
      <c r="AA841" s="417"/>
      <c r="AB841" s="417">
        <f>+M841*'Parametros Generales'!$C$6*'Parametros Generales'!$J$9</f>
        <v>3895272.7272727285</v>
      </c>
      <c r="AC841" s="417">
        <f>+H841*'Parametros Generales'!$J$10*'Parametros Generales'!$C$6*'Parametros Generales'!$C$11</f>
        <v>14738498.767401624</v>
      </c>
      <c r="AD841" s="417"/>
      <c r="AE841" s="417"/>
      <c r="AF841" s="417"/>
      <c r="AG841" s="417"/>
      <c r="AH841" s="417"/>
      <c r="AI841" s="417"/>
      <c r="AJ841" s="417"/>
      <c r="AK841" s="436"/>
      <c r="AL841" s="822"/>
    </row>
    <row r="842" spans="1:38" s="33" customFormat="1" hidden="1" outlineLevel="1">
      <c r="A842" s="1150"/>
      <c r="B842" s="821">
        <v>54</v>
      </c>
      <c r="C842" s="371" t="s">
        <v>540</v>
      </c>
      <c r="D842" s="31">
        <f>+VLOOKUP(E842,Codigos!$A$1:$B$1123,2,0)</f>
        <v>54206</v>
      </c>
      <c r="E842" s="1111" t="s">
        <v>2123</v>
      </c>
      <c r="F842" s="1103">
        <v>1</v>
      </c>
      <c r="G842" s="30">
        <v>198</v>
      </c>
      <c r="H842" s="1061">
        <f>CEILING(G842,'Parametros Generales'!$C$8)</f>
        <v>200</v>
      </c>
      <c r="I842" s="1057" t="s">
        <v>544</v>
      </c>
      <c r="J842" s="1058">
        <v>200</v>
      </c>
      <c r="K842" s="1070" t="str">
        <f t="shared" si="66"/>
        <v>Ok</v>
      </c>
      <c r="L842" s="1077">
        <f t="shared" si="67"/>
        <v>0</v>
      </c>
      <c r="M842" s="1090">
        <f>+H842/'Parametros Generales'!$C$8</f>
        <v>8</v>
      </c>
      <c r="N842" s="1097"/>
      <c r="O842" s="1097"/>
      <c r="P842" s="1097"/>
      <c r="Q842" s="1097"/>
      <c r="R842" s="1097">
        <f>+(M842/'Parametros Generales'!$C$9)</f>
        <v>2</v>
      </c>
      <c r="S842" s="390"/>
      <c r="T842" s="390"/>
      <c r="U842" s="390"/>
      <c r="V842" s="389"/>
      <c r="W842" s="32">
        <f>+R842*'Componentes T.H.'!$Q$9*'Parametros Generales'!$C$6</f>
        <v>10037014.142000001</v>
      </c>
      <c r="X842" s="32">
        <f>(+VLOOKUP(C842,'Transporte y Viaticos'!$B$87:$L$120,2,0)*'Parametros Generales'!$C$7*R842)*(2/3)</f>
        <v>1773618.2954868285</v>
      </c>
      <c r="Y842" s="417"/>
      <c r="Z842" s="417"/>
      <c r="AA842" s="417"/>
      <c r="AB842" s="417">
        <f>+M842*'Parametros Generales'!$C$6*'Parametros Generales'!$J$9</f>
        <v>3895272.7272727285</v>
      </c>
      <c r="AC842" s="417">
        <f>+H842*'Parametros Generales'!$J$10*'Parametros Generales'!$C$6*'Parametros Generales'!$C$11</f>
        <v>14738498.767401624</v>
      </c>
      <c r="AD842" s="417"/>
      <c r="AE842" s="417"/>
      <c r="AF842" s="417"/>
      <c r="AG842" s="417"/>
      <c r="AH842" s="417"/>
      <c r="AI842" s="417"/>
      <c r="AJ842" s="417"/>
      <c r="AK842" s="436"/>
      <c r="AL842" s="822"/>
    </row>
    <row r="843" spans="1:38" s="33" customFormat="1" hidden="1" outlineLevel="1">
      <c r="A843" s="1150"/>
      <c r="B843" s="821">
        <v>54</v>
      </c>
      <c r="C843" s="371" t="s">
        <v>540</v>
      </c>
      <c r="D843" s="31">
        <f>+VLOOKUP(E843,Codigos!$A$1:$B$1123,2,0)</f>
        <v>54245</v>
      </c>
      <c r="E843" s="1111" t="s">
        <v>2124</v>
      </c>
      <c r="F843" s="1103">
        <v>1</v>
      </c>
      <c r="G843" s="30">
        <v>198</v>
      </c>
      <c r="H843" s="1061">
        <f>CEILING(G843,'Parametros Generales'!$C$8)</f>
        <v>200</v>
      </c>
      <c r="I843" s="1057" t="s">
        <v>545</v>
      </c>
      <c r="J843" s="1058">
        <v>200</v>
      </c>
      <c r="K843" s="1070" t="str">
        <f t="shared" si="66"/>
        <v>Ok</v>
      </c>
      <c r="L843" s="1077">
        <f t="shared" si="67"/>
        <v>0</v>
      </c>
      <c r="M843" s="1090">
        <f>+H843/'Parametros Generales'!$C$8</f>
        <v>8</v>
      </c>
      <c r="N843" s="1097"/>
      <c r="O843" s="1097"/>
      <c r="P843" s="1097"/>
      <c r="Q843" s="1097"/>
      <c r="R843" s="1097">
        <f>+(M843/'Parametros Generales'!$C$9)</f>
        <v>2</v>
      </c>
      <c r="S843" s="390"/>
      <c r="T843" s="390"/>
      <c r="U843" s="390"/>
      <c r="V843" s="389"/>
      <c r="W843" s="32">
        <f>+R843*'Componentes T.H.'!$Q$9*'Parametros Generales'!$C$6</f>
        <v>10037014.142000001</v>
      </c>
      <c r="X843" s="32">
        <f>(+VLOOKUP(C843,'Transporte y Viaticos'!$B$87:$L$120,2,0)*'Parametros Generales'!$C$7*R843)*(2/3)</f>
        <v>1773618.2954868285</v>
      </c>
      <c r="Y843" s="417"/>
      <c r="Z843" s="417"/>
      <c r="AA843" s="417"/>
      <c r="AB843" s="417">
        <f>+M843*'Parametros Generales'!$C$6*'Parametros Generales'!$J$9</f>
        <v>3895272.7272727285</v>
      </c>
      <c r="AC843" s="417">
        <f>+H843*'Parametros Generales'!$J$10*'Parametros Generales'!$C$6*'Parametros Generales'!$C$11</f>
        <v>14738498.767401624</v>
      </c>
      <c r="AD843" s="417"/>
      <c r="AE843" s="417"/>
      <c r="AF843" s="417"/>
      <c r="AG843" s="417"/>
      <c r="AH843" s="417"/>
      <c r="AI843" s="417"/>
      <c r="AJ843" s="417"/>
      <c r="AK843" s="436"/>
      <c r="AL843" s="822"/>
    </row>
    <row r="844" spans="1:38" s="33" customFormat="1" hidden="1" outlineLevel="1">
      <c r="A844" s="1150"/>
      <c r="B844" s="821">
        <v>54</v>
      </c>
      <c r="C844" s="371" t="s">
        <v>540</v>
      </c>
      <c r="D844" s="31">
        <f>+VLOOKUP(E844,Codigos!$A$1:$B$1123,2,0)</f>
        <v>54250</v>
      </c>
      <c r="E844" s="1111" t="s">
        <v>2125</v>
      </c>
      <c r="F844" s="1103">
        <v>1</v>
      </c>
      <c r="G844" s="30">
        <v>198</v>
      </c>
      <c r="H844" s="1061">
        <f>CEILING(G844,'Parametros Generales'!$C$8)</f>
        <v>200</v>
      </c>
      <c r="I844" s="1057" t="s">
        <v>546</v>
      </c>
      <c r="J844" s="1058">
        <v>200</v>
      </c>
      <c r="K844" s="1070" t="str">
        <f t="shared" si="66"/>
        <v>Ok</v>
      </c>
      <c r="L844" s="1077">
        <f t="shared" si="67"/>
        <v>0</v>
      </c>
      <c r="M844" s="1090">
        <f>+H844/'Parametros Generales'!$C$8</f>
        <v>8</v>
      </c>
      <c r="N844" s="1097"/>
      <c r="O844" s="1097"/>
      <c r="P844" s="1097"/>
      <c r="Q844" s="1097"/>
      <c r="R844" s="1097">
        <f>+(M844/'Parametros Generales'!$C$9)</f>
        <v>2</v>
      </c>
      <c r="S844" s="390"/>
      <c r="T844" s="390"/>
      <c r="U844" s="390"/>
      <c r="V844" s="389"/>
      <c r="W844" s="32">
        <f>+R844*'Componentes T.H.'!$Q$9*'Parametros Generales'!$C$6</f>
        <v>10037014.142000001</v>
      </c>
      <c r="X844" s="32">
        <f>(+VLOOKUP(C844,'Transporte y Viaticos'!$B$87:$L$120,2,0)*'Parametros Generales'!$C$7*R844)*(2/3)</f>
        <v>1773618.2954868285</v>
      </c>
      <c r="Y844" s="417"/>
      <c r="Z844" s="417"/>
      <c r="AA844" s="417"/>
      <c r="AB844" s="417">
        <f>+M844*'Parametros Generales'!$C$6*'Parametros Generales'!$J$9</f>
        <v>3895272.7272727285</v>
      </c>
      <c r="AC844" s="417">
        <f>+H844*'Parametros Generales'!$J$10*'Parametros Generales'!$C$6*'Parametros Generales'!$C$11</f>
        <v>14738498.767401624</v>
      </c>
      <c r="AD844" s="417"/>
      <c r="AE844" s="417"/>
      <c r="AF844" s="417"/>
      <c r="AG844" s="417"/>
      <c r="AH844" s="417"/>
      <c r="AI844" s="417"/>
      <c r="AJ844" s="417"/>
      <c r="AK844" s="436"/>
      <c r="AL844" s="822"/>
    </row>
    <row r="845" spans="1:38" s="33" customFormat="1" hidden="1" outlineLevel="1">
      <c r="A845" s="1150"/>
      <c r="B845" s="821">
        <v>54</v>
      </c>
      <c r="C845" s="371" t="s">
        <v>540</v>
      </c>
      <c r="D845" s="31">
        <f>+VLOOKUP(E845,Codigos!$A$1:$B$1123,2,0)</f>
        <v>54261</v>
      </c>
      <c r="E845" s="1111" t="s">
        <v>2126</v>
      </c>
      <c r="F845" s="1103">
        <v>1</v>
      </c>
      <c r="G845" s="30">
        <v>198</v>
      </c>
      <c r="H845" s="1061">
        <f>CEILING(G845,'Parametros Generales'!$C$8)</f>
        <v>200</v>
      </c>
      <c r="I845" s="1057" t="s">
        <v>547</v>
      </c>
      <c r="J845" s="1058">
        <v>200</v>
      </c>
      <c r="K845" s="1070" t="str">
        <f t="shared" si="66"/>
        <v>Ok</v>
      </c>
      <c r="L845" s="1077">
        <f t="shared" si="67"/>
        <v>0</v>
      </c>
      <c r="M845" s="1090">
        <f>+H845/'Parametros Generales'!$C$8</f>
        <v>8</v>
      </c>
      <c r="N845" s="1097"/>
      <c r="O845" s="1097"/>
      <c r="P845" s="1097"/>
      <c r="Q845" s="1097"/>
      <c r="R845" s="1097">
        <f>+(M845/'Parametros Generales'!$C$9)</f>
        <v>2</v>
      </c>
      <c r="S845" s="390"/>
      <c r="T845" s="390"/>
      <c r="U845" s="390"/>
      <c r="V845" s="389"/>
      <c r="W845" s="32">
        <f>+R845*'Componentes T.H.'!$Q$9*'Parametros Generales'!$C$6</f>
        <v>10037014.142000001</v>
      </c>
      <c r="X845" s="32">
        <f>(+VLOOKUP(C845,'Transporte y Viaticos'!$B$87:$L$120,2,0)*'Parametros Generales'!$C$7*R845)*(2/3)</f>
        <v>1773618.2954868285</v>
      </c>
      <c r="Y845" s="417"/>
      <c r="Z845" s="417"/>
      <c r="AA845" s="417"/>
      <c r="AB845" s="417">
        <f>+M845*'Parametros Generales'!$C$6*'Parametros Generales'!$J$9</f>
        <v>3895272.7272727285</v>
      </c>
      <c r="AC845" s="417">
        <f>+H845*'Parametros Generales'!$J$10*'Parametros Generales'!$C$6*'Parametros Generales'!$C$11</f>
        <v>14738498.767401624</v>
      </c>
      <c r="AD845" s="417"/>
      <c r="AE845" s="417"/>
      <c r="AF845" s="417"/>
      <c r="AG845" s="417"/>
      <c r="AH845" s="417"/>
      <c r="AI845" s="417"/>
      <c r="AJ845" s="417"/>
      <c r="AK845" s="436"/>
      <c r="AL845" s="822"/>
    </row>
    <row r="846" spans="1:38" s="33" customFormat="1" hidden="1" outlineLevel="1">
      <c r="A846" s="1150"/>
      <c r="B846" s="821">
        <v>54</v>
      </c>
      <c r="C846" s="371" t="s">
        <v>540</v>
      </c>
      <c r="D846" s="31">
        <f>+VLOOKUP(E846,Codigos!$A$1:$B$1123,2,0)</f>
        <v>54344</v>
      </c>
      <c r="E846" s="1111" t="s">
        <v>2127</v>
      </c>
      <c r="F846" s="1103">
        <v>1</v>
      </c>
      <c r="G846" s="30">
        <v>198</v>
      </c>
      <c r="H846" s="1061">
        <f>CEILING((G846-50),'Parametros Generales'!$C$8)</f>
        <v>150</v>
      </c>
      <c r="I846" s="1057" t="s">
        <v>548</v>
      </c>
      <c r="J846" s="1058">
        <v>150</v>
      </c>
      <c r="K846" s="1070" t="str">
        <f t="shared" si="66"/>
        <v>Ok</v>
      </c>
      <c r="L846" s="1077">
        <f t="shared" si="67"/>
        <v>0</v>
      </c>
      <c r="M846" s="1090">
        <f>+H846/'Parametros Generales'!$C$8</f>
        <v>6</v>
      </c>
      <c r="N846" s="1097"/>
      <c r="O846" s="1097"/>
      <c r="P846" s="1097"/>
      <c r="Q846" s="1097"/>
      <c r="R846" s="1097">
        <f>+(M846/'Parametros Generales'!$C$9)</f>
        <v>1.5</v>
      </c>
      <c r="S846" s="390"/>
      <c r="T846" s="390"/>
      <c r="U846" s="390"/>
      <c r="V846" s="389"/>
      <c r="W846" s="32">
        <f>+R846*'Componentes T.H.'!$Q$9*'Parametros Generales'!$C$6</f>
        <v>7527760.6064999998</v>
      </c>
      <c r="X846" s="32">
        <f>(+VLOOKUP(C846,'Transporte y Viaticos'!$B$87:$L$120,2,0)*'Parametros Generales'!$C$7*R846)*(2/3)</f>
        <v>1330213.7216151212</v>
      </c>
      <c r="Y846" s="417"/>
      <c r="Z846" s="417"/>
      <c r="AA846" s="417"/>
      <c r="AB846" s="417">
        <f>+M846*'Parametros Generales'!$C$6*'Parametros Generales'!$J$9</f>
        <v>2921454.5454545463</v>
      </c>
      <c r="AC846" s="417">
        <f>+H846*'Parametros Generales'!$J$10*'Parametros Generales'!$C$6*'Parametros Generales'!$C$11</f>
        <v>11053874.075551221</v>
      </c>
      <c r="AD846" s="417"/>
      <c r="AE846" s="417"/>
      <c r="AF846" s="417"/>
      <c r="AG846" s="417"/>
      <c r="AH846" s="417"/>
      <c r="AI846" s="417"/>
      <c r="AJ846" s="417"/>
      <c r="AK846" s="436"/>
      <c r="AL846" s="822"/>
    </row>
    <row r="847" spans="1:38" s="33" customFormat="1" hidden="1" outlineLevel="1">
      <c r="A847" s="1150"/>
      <c r="B847" s="821">
        <v>54</v>
      </c>
      <c r="C847" s="371" t="s">
        <v>540</v>
      </c>
      <c r="D847" s="31">
        <f>+VLOOKUP(E847,Codigos!$A$1:$B$1123,2,0)</f>
        <v>54405</v>
      </c>
      <c r="E847" s="1111" t="s">
        <v>2128</v>
      </c>
      <c r="F847" s="1103">
        <v>1</v>
      </c>
      <c r="G847" s="30">
        <v>198</v>
      </c>
      <c r="H847" s="1061">
        <f>CEILING((G847-100),'Parametros Generales'!$C$8)</f>
        <v>100</v>
      </c>
      <c r="I847" s="1057" t="s">
        <v>549</v>
      </c>
      <c r="J847" s="1058">
        <v>100</v>
      </c>
      <c r="K847" s="1070" t="str">
        <f t="shared" si="66"/>
        <v>Ok</v>
      </c>
      <c r="L847" s="1077">
        <f t="shared" si="67"/>
        <v>0</v>
      </c>
      <c r="M847" s="1090">
        <f>+H847/'Parametros Generales'!$C$8</f>
        <v>4</v>
      </c>
      <c r="N847" s="1097"/>
      <c r="O847" s="1097"/>
      <c r="P847" s="1097"/>
      <c r="Q847" s="1097"/>
      <c r="R847" s="1097">
        <f>+(M847/'Parametros Generales'!$C$9)</f>
        <v>1</v>
      </c>
      <c r="S847" s="390"/>
      <c r="T847" s="390"/>
      <c r="U847" s="390"/>
      <c r="V847" s="389"/>
      <c r="W847" s="32">
        <f>+R847*'Componentes T.H.'!$Q$9*'Parametros Generales'!$C$6</f>
        <v>5018507.0710000005</v>
      </c>
      <c r="X847" s="32">
        <f>(+VLOOKUP(C847,'Transporte y Viaticos'!$B$87:$L$120,2,0)*'Parametros Generales'!$C$7*R847)*(2/3)</f>
        <v>886809.14774341427</v>
      </c>
      <c r="Y847" s="417"/>
      <c r="Z847" s="417"/>
      <c r="AA847" s="417"/>
      <c r="AB847" s="417">
        <f>+M847*'Parametros Generales'!$C$6*'Parametros Generales'!$J$9</f>
        <v>1947636.3636363642</v>
      </c>
      <c r="AC847" s="417">
        <f>+H847*'Parametros Generales'!$J$10*'Parametros Generales'!$C$6*'Parametros Generales'!$C$11</f>
        <v>7369249.3837008122</v>
      </c>
      <c r="AD847" s="417"/>
      <c r="AE847" s="417"/>
      <c r="AF847" s="417"/>
      <c r="AG847" s="417"/>
      <c r="AH847" s="417"/>
      <c r="AI847" s="417"/>
      <c r="AJ847" s="417"/>
      <c r="AK847" s="436"/>
      <c r="AL847" s="822"/>
    </row>
    <row r="848" spans="1:38" s="33" customFormat="1" hidden="1" outlineLevel="1">
      <c r="A848" s="1150"/>
      <c r="B848" s="821">
        <v>54</v>
      </c>
      <c r="C848" s="371" t="s">
        <v>540</v>
      </c>
      <c r="D848" s="31">
        <f>+VLOOKUP(E848,Codigos!$A$1:$B$1123,2,0)</f>
        <v>54418</v>
      </c>
      <c r="E848" s="1111" t="s">
        <v>2129</v>
      </c>
      <c r="F848" s="1103">
        <v>1</v>
      </c>
      <c r="G848" s="30">
        <v>198</v>
      </c>
      <c r="H848" s="1061">
        <f>CEILING(G848,'Parametros Generales'!$C$8)</f>
        <v>200</v>
      </c>
      <c r="I848" s="1057" t="s">
        <v>550</v>
      </c>
      <c r="J848" s="1058">
        <v>200</v>
      </c>
      <c r="K848" s="1070" t="str">
        <f t="shared" si="66"/>
        <v>Ok</v>
      </c>
      <c r="L848" s="1077">
        <f t="shared" si="67"/>
        <v>0</v>
      </c>
      <c r="M848" s="1090">
        <f>+H848/'Parametros Generales'!$C$8</f>
        <v>8</v>
      </c>
      <c r="N848" s="1097"/>
      <c r="O848" s="1097"/>
      <c r="P848" s="1097"/>
      <c r="Q848" s="1097"/>
      <c r="R848" s="1097">
        <f>+(M848/'Parametros Generales'!$C$9)</f>
        <v>2</v>
      </c>
      <c r="S848" s="390"/>
      <c r="T848" s="390"/>
      <c r="U848" s="390"/>
      <c r="V848" s="389"/>
      <c r="W848" s="32">
        <f>+R848*'Componentes T.H.'!$Q$9*'Parametros Generales'!$C$6</f>
        <v>10037014.142000001</v>
      </c>
      <c r="X848" s="32">
        <f>(+VLOOKUP(C848,'Transporte y Viaticos'!$B$87:$L$120,2,0)*'Parametros Generales'!$C$7*R848)*(2/3)</f>
        <v>1773618.2954868285</v>
      </c>
      <c r="Y848" s="417"/>
      <c r="Z848" s="417"/>
      <c r="AA848" s="417"/>
      <c r="AB848" s="417">
        <f>+M848*'Parametros Generales'!$C$6*'Parametros Generales'!$J$9</f>
        <v>3895272.7272727285</v>
      </c>
      <c r="AC848" s="417">
        <f>+H848*'Parametros Generales'!$J$10*'Parametros Generales'!$C$6*'Parametros Generales'!$C$11</f>
        <v>14738498.767401624</v>
      </c>
      <c r="AD848" s="417"/>
      <c r="AE848" s="417"/>
      <c r="AF848" s="417"/>
      <c r="AG848" s="417"/>
      <c r="AH848" s="417"/>
      <c r="AI848" s="417"/>
      <c r="AJ848" s="417"/>
      <c r="AK848" s="436"/>
      <c r="AL848" s="822"/>
    </row>
    <row r="849" spans="1:38" s="33" customFormat="1" hidden="1" outlineLevel="1">
      <c r="A849" s="1150"/>
      <c r="B849" s="821">
        <v>54</v>
      </c>
      <c r="C849" s="371" t="s">
        <v>540</v>
      </c>
      <c r="D849" s="31">
        <f>+VLOOKUP(E849,Codigos!$A$1:$B$1123,2,0)</f>
        <v>54498</v>
      </c>
      <c r="E849" s="1111" t="s">
        <v>2130</v>
      </c>
      <c r="F849" s="1103">
        <v>1</v>
      </c>
      <c r="G849" s="30">
        <v>396</v>
      </c>
      <c r="H849" s="1061">
        <f>CEILING((G849-50),'Parametros Generales'!$C$8)</f>
        <v>350</v>
      </c>
      <c r="I849" s="1057" t="s">
        <v>551</v>
      </c>
      <c r="J849" s="1058">
        <v>350</v>
      </c>
      <c r="K849" s="1070" t="str">
        <f t="shared" si="66"/>
        <v>Ok</v>
      </c>
      <c r="L849" s="1077">
        <f t="shared" si="67"/>
        <v>0</v>
      </c>
      <c r="M849" s="1090">
        <f>+H849/'Parametros Generales'!$C$8</f>
        <v>14</v>
      </c>
      <c r="N849" s="1097"/>
      <c r="O849" s="1097"/>
      <c r="P849" s="1097"/>
      <c r="Q849" s="1097"/>
      <c r="R849" s="1097">
        <f>+(M849/'Parametros Generales'!$C$9)</f>
        <v>3.5</v>
      </c>
      <c r="S849" s="390"/>
      <c r="T849" s="390"/>
      <c r="U849" s="390"/>
      <c r="V849" s="389"/>
      <c r="W849" s="32">
        <f>+R849*'Componentes T.H.'!$Q$9*'Parametros Generales'!$C$6</f>
        <v>17564774.748499997</v>
      </c>
      <c r="X849" s="32">
        <f>(+VLOOKUP(C849,'Transporte y Viaticos'!$B$87:$L$120,2,0)*'Parametros Generales'!$C$7*R849)*(2/3)</f>
        <v>3103832.01710195</v>
      </c>
      <c r="Y849" s="417"/>
      <c r="Z849" s="417"/>
      <c r="AA849" s="417"/>
      <c r="AB849" s="417">
        <f>+M849*'Parametros Generales'!$C$6*'Parametros Generales'!$J$9</f>
        <v>6816727.2727272743</v>
      </c>
      <c r="AC849" s="417">
        <f>+H849*'Parametros Generales'!$J$10*'Parametros Generales'!$C$6*'Parametros Generales'!$C$11</f>
        <v>25792372.842952844</v>
      </c>
      <c r="AD849" s="417"/>
      <c r="AE849" s="417"/>
      <c r="AF849" s="417"/>
      <c r="AG849" s="417"/>
      <c r="AH849" s="417"/>
      <c r="AI849" s="417"/>
      <c r="AJ849" s="417"/>
      <c r="AK849" s="436"/>
      <c r="AL849" s="822"/>
    </row>
    <row r="850" spans="1:38" s="33" customFormat="1" hidden="1" outlineLevel="1">
      <c r="A850" s="1150"/>
      <c r="B850" s="821">
        <v>54</v>
      </c>
      <c r="C850" s="371" t="s">
        <v>540</v>
      </c>
      <c r="D850" s="31">
        <f>+VLOOKUP(E850,Codigos!$A$1:$B$1123,2,0)</f>
        <v>54518</v>
      </c>
      <c r="E850" s="1111" t="s">
        <v>2131</v>
      </c>
      <c r="F850" s="1103">
        <v>1</v>
      </c>
      <c r="G850" s="30">
        <v>198</v>
      </c>
      <c r="H850" s="1061">
        <f>CEILING(G850,'Parametros Generales'!$C$8)</f>
        <v>200</v>
      </c>
      <c r="I850" s="1057" t="s">
        <v>552</v>
      </c>
      <c r="J850" s="1058">
        <v>200</v>
      </c>
      <c r="K850" s="1070" t="str">
        <f t="shared" si="66"/>
        <v>Ok</v>
      </c>
      <c r="L850" s="1077">
        <f t="shared" si="67"/>
        <v>0</v>
      </c>
      <c r="M850" s="1090">
        <f>+H850/'Parametros Generales'!$C$8</f>
        <v>8</v>
      </c>
      <c r="N850" s="1097"/>
      <c r="O850" s="1097"/>
      <c r="P850" s="1097"/>
      <c r="Q850" s="1097"/>
      <c r="R850" s="1097">
        <f>+(M850/'Parametros Generales'!$C$9)</f>
        <v>2</v>
      </c>
      <c r="S850" s="390"/>
      <c r="T850" s="390"/>
      <c r="U850" s="390"/>
      <c r="V850" s="389"/>
      <c r="W850" s="32">
        <f>+R850*'Componentes T.H.'!$Q$9*'Parametros Generales'!$C$6</f>
        <v>10037014.142000001</v>
      </c>
      <c r="X850" s="32">
        <f>(+VLOOKUP(C850,'Transporte y Viaticos'!$B$87:$L$120,2,0)*'Parametros Generales'!$C$7*R850)*(2/3)</f>
        <v>1773618.2954868285</v>
      </c>
      <c r="Y850" s="417"/>
      <c r="Z850" s="417"/>
      <c r="AA850" s="417"/>
      <c r="AB850" s="417">
        <f>+M850*'Parametros Generales'!$C$6*'Parametros Generales'!$J$9</f>
        <v>3895272.7272727285</v>
      </c>
      <c r="AC850" s="417">
        <f>+H850*'Parametros Generales'!$J$10*'Parametros Generales'!$C$6*'Parametros Generales'!$C$11</f>
        <v>14738498.767401624</v>
      </c>
      <c r="AD850" s="417"/>
      <c r="AE850" s="417"/>
      <c r="AF850" s="417"/>
      <c r="AG850" s="417"/>
      <c r="AH850" s="417"/>
      <c r="AI850" s="417"/>
      <c r="AJ850" s="417"/>
      <c r="AK850" s="436"/>
      <c r="AL850" s="822"/>
    </row>
    <row r="851" spans="1:38" s="33" customFormat="1" hidden="1" outlineLevel="1">
      <c r="A851" s="1150"/>
      <c r="B851" s="821">
        <v>54</v>
      </c>
      <c r="C851" s="371" t="s">
        <v>540</v>
      </c>
      <c r="D851" s="31">
        <f>+VLOOKUP(E851,Codigos!$A$1:$B$1123,2,0)</f>
        <v>54553</v>
      </c>
      <c r="E851" s="1111" t="s">
        <v>2132</v>
      </c>
      <c r="F851" s="1103">
        <v>1</v>
      </c>
      <c r="G851" s="30">
        <v>198</v>
      </c>
      <c r="H851" s="1061">
        <f>CEILING(G851,'Parametros Generales'!$C$8)</f>
        <v>200</v>
      </c>
      <c r="I851" s="1057" t="s">
        <v>553</v>
      </c>
      <c r="J851" s="1058">
        <v>200</v>
      </c>
      <c r="K851" s="1070" t="str">
        <f t="shared" si="66"/>
        <v>Ok</v>
      </c>
      <c r="L851" s="1077">
        <f t="shared" si="67"/>
        <v>0</v>
      </c>
      <c r="M851" s="1090">
        <f>+H851/'Parametros Generales'!$C$8</f>
        <v>8</v>
      </c>
      <c r="N851" s="1097"/>
      <c r="O851" s="1097"/>
      <c r="P851" s="1097"/>
      <c r="Q851" s="1097"/>
      <c r="R851" s="1097">
        <f>+(M851/'Parametros Generales'!$C$9)</f>
        <v>2</v>
      </c>
      <c r="S851" s="390"/>
      <c r="T851" s="390"/>
      <c r="U851" s="390"/>
      <c r="V851" s="389"/>
      <c r="W851" s="32">
        <f>+R851*'Componentes T.H.'!$Q$9*'Parametros Generales'!$C$6</f>
        <v>10037014.142000001</v>
      </c>
      <c r="X851" s="32">
        <f>(+VLOOKUP(C851,'Transporte y Viaticos'!$B$87:$L$120,2,0)*'Parametros Generales'!$C$7*R851)*(2/3)</f>
        <v>1773618.2954868285</v>
      </c>
      <c r="Y851" s="417"/>
      <c r="Z851" s="417"/>
      <c r="AA851" s="417"/>
      <c r="AB851" s="417">
        <f>+M851*'Parametros Generales'!$C$6*'Parametros Generales'!$J$9</f>
        <v>3895272.7272727285</v>
      </c>
      <c r="AC851" s="417">
        <f>+H851*'Parametros Generales'!$J$10*'Parametros Generales'!$C$6*'Parametros Generales'!$C$11</f>
        <v>14738498.767401624</v>
      </c>
      <c r="AD851" s="417"/>
      <c r="AE851" s="417"/>
      <c r="AF851" s="417"/>
      <c r="AG851" s="417"/>
      <c r="AH851" s="417"/>
      <c r="AI851" s="417"/>
      <c r="AJ851" s="417"/>
      <c r="AK851" s="436"/>
      <c r="AL851" s="822"/>
    </row>
    <row r="852" spans="1:38" s="33" customFormat="1" hidden="1" outlineLevel="1">
      <c r="A852" s="1150"/>
      <c r="B852" s="821">
        <v>54</v>
      </c>
      <c r="C852" s="371" t="s">
        <v>540</v>
      </c>
      <c r="D852" s="31">
        <f>+VLOOKUP(E852,Codigos!$A$1:$B$1123,2,0)</f>
        <v>54670</v>
      </c>
      <c r="E852" s="1111" t="s">
        <v>2133</v>
      </c>
      <c r="F852" s="1103">
        <v>1</v>
      </c>
      <c r="G852" s="30">
        <v>198</v>
      </c>
      <c r="H852" s="1061">
        <f>CEILING((G852-50),'Parametros Generales'!$C$8)</f>
        <v>150</v>
      </c>
      <c r="I852" s="1057" t="s">
        <v>554</v>
      </c>
      <c r="J852" s="1058">
        <v>150</v>
      </c>
      <c r="K852" s="1070" t="str">
        <f t="shared" si="66"/>
        <v>Ok</v>
      </c>
      <c r="L852" s="1077">
        <f t="shared" si="67"/>
        <v>0</v>
      </c>
      <c r="M852" s="1090">
        <f>+H852/'Parametros Generales'!$C$8</f>
        <v>6</v>
      </c>
      <c r="N852" s="1097"/>
      <c r="O852" s="1097"/>
      <c r="P852" s="1097"/>
      <c r="Q852" s="1097"/>
      <c r="R852" s="1097">
        <f>+(M852/'Parametros Generales'!$C$9)</f>
        <v>1.5</v>
      </c>
      <c r="S852" s="390"/>
      <c r="T852" s="390"/>
      <c r="U852" s="390"/>
      <c r="V852" s="389"/>
      <c r="W852" s="32">
        <f>+R852*'Componentes T.H.'!$Q$9*'Parametros Generales'!$C$6</f>
        <v>7527760.6064999998</v>
      </c>
      <c r="X852" s="32">
        <f>(+VLOOKUP(C852,'Transporte y Viaticos'!$B$87:$L$120,2,0)*'Parametros Generales'!$C$7*R852)*(2/3)</f>
        <v>1330213.7216151212</v>
      </c>
      <c r="Y852" s="417"/>
      <c r="Z852" s="417"/>
      <c r="AA852" s="417"/>
      <c r="AB852" s="417">
        <f>+M852*'Parametros Generales'!$C$6*'Parametros Generales'!$J$9</f>
        <v>2921454.5454545463</v>
      </c>
      <c r="AC852" s="417">
        <f>+H852*'Parametros Generales'!$J$10*'Parametros Generales'!$C$6*'Parametros Generales'!$C$11</f>
        <v>11053874.075551221</v>
      </c>
      <c r="AD852" s="417"/>
      <c r="AE852" s="417"/>
      <c r="AF852" s="417"/>
      <c r="AG852" s="417"/>
      <c r="AH852" s="417"/>
      <c r="AI852" s="417"/>
      <c r="AJ852" s="417"/>
      <c r="AK852" s="436"/>
      <c r="AL852" s="822"/>
    </row>
    <row r="853" spans="1:38" s="33" customFormat="1" hidden="1" outlineLevel="1">
      <c r="A853" s="1150"/>
      <c r="B853" s="821">
        <v>54</v>
      </c>
      <c r="C853" s="371" t="s">
        <v>540</v>
      </c>
      <c r="D853" s="31">
        <f>+VLOOKUP(E853,Codigos!$A$1:$B$1123,2,0)</f>
        <v>54720</v>
      </c>
      <c r="E853" s="1111" t="s">
        <v>2134</v>
      </c>
      <c r="F853" s="1103">
        <v>1</v>
      </c>
      <c r="G853" s="30">
        <v>198</v>
      </c>
      <c r="H853" s="1061">
        <f>CEILING(G853,'Parametros Generales'!$C$8)</f>
        <v>200</v>
      </c>
      <c r="I853" s="1057" t="s">
        <v>555</v>
      </c>
      <c r="J853" s="1058">
        <v>200</v>
      </c>
      <c r="K853" s="1070" t="str">
        <f t="shared" si="66"/>
        <v>Ok</v>
      </c>
      <c r="L853" s="1077">
        <f t="shared" si="67"/>
        <v>0</v>
      </c>
      <c r="M853" s="1090">
        <f>+H853/'Parametros Generales'!$C$8</f>
        <v>8</v>
      </c>
      <c r="N853" s="1097"/>
      <c r="O853" s="1097"/>
      <c r="P853" s="1097"/>
      <c r="Q853" s="1097"/>
      <c r="R853" s="1097">
        <f>+(M853/'Parametros Generales'!$C$9)</f>
        <v>2</v>
      </c>
      <c r="S853" s="390"/>
      <c r="T853" s="390"/>
      <c r="U853" s="390"/>
      <c r="V853" s="389"/>
      <c r="W853" s="32">
        <f>+R853*'Componentes T.H.'!$Q$9*'Parametros Generales'!$C$6</f>
        <v>10037014.142000001</v>
      </c>
      <c r="X853" s="32">
        <f>(+VLOOKUP(C853,'Transporte y Viaticos'!$B$87:$L$120,2,0)*'Parametros Generales'!$C$7*R853)*(2/3)</f>
        <v>1773618.2954868285</v>
      </c>
      <c r="Y853" s="417"/>
      <c r="Z853" s="417"/>
      <c r="AA853" s="417"/>
      <c r="AB853" s="417">
        <f>+M853*'Parametros Generales'!$C$6*'Parametros Generales'!$J$9</f>
        <v>3895272.7272727285</v>
      </c>
      <c r="AC853" s="417">
        <f>+H853*'Parametros Generales'!$J$10*'Parametros Generales'!$C$6*'Parametros Generales'!$C$11</f>
        <v>14738498.767401624</v>
      </c>
      <c r="AD853" s="417"/>
      <c r="AE853" s="417"/>
      <c r="AF853" s="417"/>
      <c r="AG853" s="417"/>
      <c r="AH853" s="417"/>
      <c r="AI853" s="417"/>
      <c r="AJ853" s="417"/>
      <c r="AK853" s="436"/>
      <c r="AL853" s="822"/>
    </row>
    <row r="854" spans="1:38" s="33" customFormat="1" hidden="1" outlineLevel="1">
      <c r="A854" s="1150"/>
      <c r="B854" s="821">
        <v>54</v>
      </c>
      <c r="C854" s="371" t="s">
        <v>540</v>
      </c>
      <c r="D854" s="31">
        <f>+VLOOKUP(E854,Codigos!$A$1:$B$1123,2,0)</f>
        <v>54800</v>
      </c>
      <c r="E854" s="1111" t="s">
        <v>2135</v>
      </c>
      <c r="F854" s="1103">
        <v>1</v>
      </c>
      <c r="G854" s="30">
        <v>198</v>
      </c>
      <c r="H854" s="1061">
        <f>CEILING(G854,'Parametros Generales'!$C$8)</f>
        <v>200</v>
      </c>
      <c r="I854" s="1057" t="s">
        <v>556</v>
      </c>
      <c r="J854" s="1058">
        <v>200</v>
      </c>
      <c r="K854" s="1070" t="str">
        <f t="shared" si="66"/>
        <v>Ok</v>
      </c>
      <c r="L854" s="1077">
        <f t="shared" si="67"/>
        <v>0</v>
      </c>
      <c r="M854" s="1090">
        <f>+H854/'Parametros Generales'!$C$8</f>
        <v>8</v>
      </c>
      <c r="N854" s="1097"/>
      <c r="O854" s="1097"/>
      <c r="P854" s="1097"/>
      <c r="Q854" s="1097"/>
      <c r="R854" s="1097">
        <f>+(M854/'Parametros Generales'!$C$9)</f>
        <v>2</v>
      </c>
      <c r="S854" s="390"/>
      <c r="T854" s="390"/>
      <c r="U854" s="390"/>
      <c r="V854" s="389"/>
      <c r="W854" s="32">
        <f>+R854*'Componentes T.H.'!$Q$9*'Parametros Generales'!$C$6</f>
        <v>10037014.142000001</v>
      </c>
      <c r="X854" s="32">
        <f>(+VLOOKUP(C854,'Transporte y Viaticos'!$B$87:$L$120,2,0)*'Parametros Generales'!$C$7*R854)*(2/3)</f>
        <v>1773618.2954868285</v>
      </c>
      <c r="Y854" s="417"/>
      <c r="Z854" s="417"/>
      <c r="AA854" s="417"/>
      <c r="AB854" s="417">
        <f>+M854*'Parametros Generales'!$C$6*'Parametros Generales'!$J$9</f>
        <v>3895272.7272727285</v>
      </c>
      <c r="AC854" s="417">
        <f>+H854*'Parametros Generales'!$J$10*'Parametros Generales'!$C$6*'Parametros Generales'!$C$11</f>
        <v>14738498.767401624</v>
      </c>
      <c r="AD854" s="417"/>
      <c r="AE854" s="417"/>
      <c r="AF854" s="417"/>
      <c r="AG854" s="417"/>
      <c r="AH854" s="417"/>
      <c r="AI854" s="417"/>
      <c r="AJ854" s="417"/>
      <c r="AK854" s="436"/>
      <c r="AL854" s="822"/>
    </row>
    <row r="855" spans="1:38" s="33" customFormat="1" hidden="1" outlineLevel="1">
      <c r="A855" s="1150"/>
      <c r="B855" s="821">
        <v>54</v>
      </c>
      <c r="C855" s="371" t="s">
        <v>540</v>
      </c>
      <c r="D855" s="31">
        <f>+VLOOKUP(E855,Codigos!$A$1:$B$1123,2,0)</f>
        <v>54810</v>
      </c>
      <c r="E855" s="1111" t="s">
        <v>2136</v>
      </c>
      <c r="F855" s="1103">
        <v>1</v>
      </c>
      <c r="G855" s="30">
        <v>396</v>
      </c>
      <c r="H855" s="1061">
        <f>CEILING(G855,'Parametros Generales'!$C$8)</f>
        <v>400</v>
      </c>
      <c r="I855" s="1057" t="s">
        <v>557</v>
      </c>
      <c r="J855" s="1058">
        <v>400</v>
      </c>
      <c r="K855" s="1070" t="str">
        <f t="shared" si="66"/>
        <v>Ok</v>
      </c>
      <c r="L855" s="1077">
        <f t="shared" si="67"/>
        <v>0</v>
      </c>
      <c r="M855" s="1090">
        <f>+H855/'Parametros Generales'!$C$8</f>
        <v>16</v>
      </c>
      <c r="N855" s="1097"/>
      <c r="O855" s="1097"/>
      <c r="P855" s="1097"/>
      <c r="Q855" s="1097"/>
      <c r="R855" s="1097">
        <f>+(M855/'Parametros Generales'!$C$9)</f>
        <v>4</v>
      </c>
      <c r="S855" s="390"/>
      <c r="T855" s="390"/>
      <c r="U855" s="390"/>
      <c r="V855" s="389"/>
      <c r="W855" s="32">
        <f>+R855*'Componentes T.H.'!$Q$9*'Parametros Generales'!$C$6</f>
        <v>20074028.284000002</v>
      </c>
      <c r="X855" s="32">
        <f>(+VLOOKUP(C855,'Transporte y Viaticos'!$B$87:$L$120,2,0)*'Parametros Generales'!$C$7*R855)*(2/3)</f>
        <v>3547236.5909736571</v>
      </c>
      <c r="Y855" s="417"/>
      <c r="Z855" s="417"/>
      <c r="AA855" s="417"/>
      <c r="AB855" s="417">
        <f>+M855*'Parametros Generales'!$C$6*'Parametros Generales'!$J$9</f>
        <v>7790545.4545454569</v>
      </c>
      <c r="AC855" s="417">
        <f>+H855*'Parametros Generales'!$J$10*'Parametros Generales'!$C$6*'Parametros Generales'!$C$11</f>
        <v>29476997.534803249</v>
      </c>
      <c r="AD855" s="417"/>
      <c r="AE855" s="417"/>
      <c r="AF855" s="417"/>
      <c r="AG855" s="417"/>
      <c r="AH855" s="417"/>
      <c r="AI855" s="417"/>
      <c r="AJ855" s="417"/>
      <c r="AK855" s="436"/>
      <c r="AL855" s="822"/>
    </row>
    <row r="856" spans="1:38" s="33" customFormat="1" hidden="1" outlineLevel="1">
      <c r="A856" s="1150"/>
      <c r="B856" s="823">
        <v>54</v>
      </c>
      <c r="C856" s="373" t="s">
        <v>540</v>
      </c>
      <c r="D856" s="374">
        <f>+VLOOKUP(E856,Codigos!$A$1:$B$1123,2,0)</f>
        <v>54874</v>
      </c>
      <c r="E856" s="1113" t="s">
        <v>2137</v>
      </c>
      <c r="F856" s="1104">
        <v>1</v>
      </c>
      <c r="G856" s="375">
        <v>198</v>
      </c>
      <c r="H856" s="1062">
        <f>CEILING(G856,'Parametros Generales'!$C$8)</f>
        <v>200</v>
      </c>
      <c r="I856" s="1057" t="s">
        <v>558</v>
      </c>
      <c r="J856" s="1058">
        <v>200</v>
      </c>
      <c r="K856" s="1070" t="str">
        <f t="shared" si="66"/>
        <v>Ok</v>
      </c>
      <c r="L856" s="1077">
        <f t="shared" si="67"/>
        <v>0</v>
      </c>
      <c r="M856" s="1091">
        <f>+H856/'Parametros Generales'!$C$8</f>
        <v>8</v>
      </c>
      <c r="N856" s="1098"/>
      <c r="O856" s="1098"/>
      <c r="P856" s="1098"/>
      <c r="Q856" s="1098"/>
      <c r="R856" s="1098">
        <f>+(M856/'Parametros Generales'!$C$9)</f>
        <v>2</v>
      </c>
      <c r="S856" s="395"/>
      <c r="T856" s="395"/>
      <c r="U856" s="395"/>
      <c r="V856" s="396"/>
      <c r="W856" s="376">
        <f>+R856*'Componentes T.H.'!$Q$9*'Parametros Generales'!$C$6</f>
        <v>10037014.142000001</v>
      </c>
      <c r="X856" s="376">
        <f>(+VLOOKUP(C856,'Transporte y Viaticos'!$B$87:$L$120,2,0)*'Parametros Generales'!$C$7*R856)*(2/3)</f>
        <v>1773618.2954868285</v>
      </c>
      <c r="Y856" s="417"/>
      <c r="Z856" s="417"/>
      <c r="AA856" s="417"/>
      <c r="AB856" s="417">
        <f>+M856*'Parametros Generales'!$C$6*'Parametros Generales'!$J$9</f>
        <v>3895272.7272727285</v>
      </c>
      <c r="AC856" s="417">
        <f>+H856*'Parametros Generales'!$J$10*'Parametros Generales'!$C$6*'Parametros Generales'!$C$11</f>
        <v>14738498.767401624</v>
      </c>
      <c r="AD856" s="417"/>
      <c r="AE856" s="417"/>
      <c r="AF856" s="417"/>
      <c r="AG856" s="417"/>
      <c r="AH856" s="417"/>
      <c r="AI856" s="417"/>
      <c r="AJ856" s="417"/>
      <c r="AK856" s="436"/>
      <c r="AL856" s="822"/>
    </row>
    <row r="857" spans="1:38" s="33" customFormat="1" hidden="1" outlineLevel="1">
      <c r="A857" s="1150"/>
      <c r="B857" s="823">
        <f t="shared" ref="B857:B870" si="68">+B856</f>
        <v>54</v>
      </c>
      <c r="C857" s="373" t="str">
        <f t="shared" ref="C857:C870" si="69">+C856</f>
        <v>NORTE DE SANTANDER</v>
      </c>
      <c r="D857" s="374"/>
      <c r="E857" s="1113"/>
      <c r="F857" s="1104"/>
      <c r="G857" s="375"/>
      <c r="H857" s="1062"/>
      <c r="I857" s="1057"/>
      <c r="J857" s="1058"/>
      <c r="K857" s="1070" t="str">
        <f t="shared" si="66"/>
        <v>Ok</v>
      </c>
      <c r="L857" s="1077">
        <f t="shared" si="67"/>
        <v>0</v>
      </c>
      <c r="M857" s="1091">
        <f>+H857/'Parametros Generales'!$C$8</f>
        <v>0</v>
      </c>
      <c r="N857" s="1098"/>
      <c r="O857" s="1098"/>
      <c r="P857" s="1098"/>
      <c r="Q857" s="1098"/>
      <c r="R857" s="1098">
        <f>+(M857/'Parametros Generales'!$C$9)</f>
        <v>0</v>
      </c>
      <c r="S857" s="395"/>
      <c r="T857" s="395"/>
      <c r="U857" s="395"/>
      <c r="V857" s="396"/>
      <c r="W857" s="376">
        <f>+R857*'Componentes T.H.'!$Q$9*'Parametros Generales'!$C$6</f>
        <v>0</v>
      </c>
      <c r="X857" s="376">
        <f>(+VLOOKUP(C857,'Transporte y Viaticos'!$B$87:$L$120,2,0)*'Parametros Generales'!$C$7*R857)*(2/3)</f>
        <v>0</v>
      </c>
      <c r="Y857" s="417"/>
      <c r="Z857" s="417"/>
      <c r="AA857" s="417"/>
      <c r="AB857" s="417">
        <f>+M857*'Parametros Generales'!$C$6*'Parametros Generales'!$J$9</f>
        <v>0</v>
      </c>
      <c r="AC857" s="417">
        <f>+H857*'Parametros Generales'!$J$10*'Parametros Generales'!$C$6*'Parametros Generales'!$C$11</f>
        <v>0</v>
      </c>
      <c r="AD857" s="417"/>
      <c r="AE857" s="417"/>
      <c r="AF857" s="417"/>
      <c r="AG857" s="417"/>
      <c r="AH857" s="417"/>
      <c r="AI857" s="417"/>
      <c r="AJ857" s="417"/>
      <c r="AK857" s="436"/>
      <c r="AL857" s="822"/>
    </row>
    <row r="858" spans="1:38" s="33" customFormat="1" hidden="1" outlineLevel="1">
      <c r="A858" s="1150"/>
      <c r="B858" s="823">
        <f t="shared" si="68"/>
        <v>54</v>
      </c>
      <c r="C858" s="373" t="str">
        <f t="shared" si="69"/>
        <v>NORTE DE SANTANDER</v>
      </c>
      <c r="D858" s="374"/>
      <c r="E858" s="1113"/>
      <c r="F858" s="1104"/>
      <c r="G858" s="375"/>
      <c r="H858" s="1062"/>
      <c r="I858" s="1057"/>
      <c r="J858" s="1058"/>
      <c r="K858" s="1070" t="str">
        <f t="shared" si="66"/>
        <v>Ok</v>
      </c>
      <c r="L858" s="1077">
        <f t="shared" si="67"/>
        <v>0</v>
      </c>
      <c r="M858" s="1091">
        <f>+H858/'Parametros Generales'!$C$8</f>
        <v>0</v>
      </c>
      <c r="N858" s="1098"/>
      <c r="O858" s="1098"/>
      <c r="P858" s="1098"/>
      <c r="Q858" s="1098"/>
      <c r="R858" s="1098">
        <f>+(M858/'Parametros Generales'!$C$9)</f>
        <v>0</v>
      </c>
      <c r="S858" s="395"/>
      <c r="T858" s="395"/>
      <c r="U858" s="395"/>
      <c r="V858" s="396"/>
      <c r="W858" s="376">
        <f>+R858*'Componentes T.H.'!$Q$9*'Parametros Generales'!$C$6</f>
        <v>0</v>
      </c>
      <c r="X858" s="376">
        <f>(+VLOOKUP(C858,'Transporte y Viaticos'!$B$87:$L$120,2,0)*'Parametros Generales'!$C$7*R858)*(2/3)</f>
        <v>0</v>
      </c>
      <c r="Y858" s="417"/>
      <c r="Z858" s="417"/>
      <c r="AA858" s="417"/>
      <c r="AB858" s="417">
        <f>+M858*'Parametros Generales'!$C$6*'Parametros Generales'!$J$9</f>
        <v>0</v>
      </c>
      <c r="AC858" s="417">
        <f>+H858*'Parametros Generales'!$J$10*'Parametros Generales'!$C$6*'Parametros Generales'!$C$11</f>
        <v>0</v>
      </c>
      <c r="AD858" s="417"/>
      <c r="AE858" s="417"/>
      <c r="AF858" s="417"/>
      <c r="AG858" s="417"/>
      <c r="AH858" s="417"/>
      <c r="AI858" s="417"/>
      <c r="AJ858" s="417"/>
      <c r="AK858" s="436"/>
      <c r="AL858" s="822"/>
    </row>
    <row r="859" spans="1:38" s="33" customFormat="1" hidden="1" outlineLevel="1">
      <c r="A859" s="1150"/>
      <c r="B859" s="823">
        <f t="shared" si="68"/>
        <v>54</v>
      </c>
      <c r="C859" s="373" t="str">
        <f t="shared" si="69"/>
        <v>NORTE DE SANTANDER</v>
      </c>
      <c r="D859" s="374"/>
      <c r="E859" s="1113"/>
      <c r="F859" s="1104"/>
      <c r="G859" s="375"/>
      <c r="H859" s="1062"/>
      <c r="I859" s="1057"/>
      <c r="J859" s="1058"/>
      <c r="K859" s="1070" t="str">
        <f t="shared" si="66"/>
        <v>Ok</v>
      </c>
      <c r="L859" s="1077">
        <f t="shared" si="67"/>
        <v>0</v>
      </c>
      <c r="M859" s="1091">
        <f>+H859/'Parametros Generales'!$C$8</f>
        <v>0</v>
      </c>
      <c r="N859" s="1098"/>
      <c r="O859" s="1098"/>
      <c r="P859" s="1098"/>
      <c r="Q859" s="1098"/>
      <c r="R859" s="1098">
        <f>+(M859/'Parametros Generales'!$C$9)</f>
        <v>0</v>
      </c>
      <c r="S859" s="395"/>
      <c r="T859" s="395"/>
      <c r="U859" s="395"/>
      <c r="V859" s="396"/>
      <c r="W859" s="376">
        <f>+R859*'Componentes T.H.'!$Q$9*'Parametros Generales'!$C$6</f>
        <v>0</v>
      </c>
      <c r="X859" s="376">
        <f>(+VLOOKUP(C859,'Transporte y Viaticos'!$B$87:$L$120,2,0)*'Parametros Generales'!$C$7*R859)*(2/3)</f>
        <v>0</v>
      </c>
      <c r="Y859" s="417"/>
      <c r="Z859" s="417"/>
      <c r="AA859" s="417"/>
      <c r="AB859" s="417">
        <f>+M859*'Parametros Generales'!$C$6*'Parametros Generales'!$J$9</f>
        <v>0</v>
      </c>
      <c r="AC859" s="417">
        <f>+H859*'Parametros Generales'!$J$10*'Parametros Generales'!$C$6*'Parametros Generales'!$C$11</f>
        <v>0</v>
      </c>
      <c r="AD859" s="417"/>
      <c r="AE859" s="417"/>
      <c r="AF859" s="417"/>
      <c r="AG859" s="417"/>
      <c r="AH859" s="417"/>
      <c r="AI859" s="417"/>
      <c r="AJ859" s="417"/>
      <c r="AK859" s="436"/>
      <c r="AL859" s="822"/>
    </row>
    <row r="860" spans="1:38" s="33" customFormat="1" hidden="1" outlineLevel="1">
      <c r="A860" s="1150"/>
      <c r="B860" s="823">
        <f t="shared" si="68"/>
        <v>54</v>
      </c>
      <c r="C860" s="373" t="str">
        <f t="shared" si="69"/>
        <v>NORTE DE SANTANDER</v>
      </c>
      <c r="D860" s="374"/>
      <c r="E860" s="1113"/>
      <c r="F860" s="1104"/>
      <c r="G860" s="375"/>
      <c r="H860" s="1062"/>
      <c r="I860" s="1057"/>
      <c r="J860" s="1058"/>
      <c r="K860" s="1070" t="str">
        <f t="shared" si="66"/>
        <v>Ok</v>
      </c>
      <c r="L860" s="1077">
        <f t="shared" si="67"/>
        <v>0</v>
      </c>
      <c r="M860" s="1091">
        <f>+H860/'Parametros Generales'!$C$8</f>
        <v>0</v>
      </c>
      <c r="N860" s="1098"/>
      <c r="O860" s="1098"/>
      <c r="P860" s="1098"/>
      <c r="Q860" s="1098"/>
      <c r="R860" s="1098">
        <f>+(M860/'Parametros Generales'!$C$9)</f>
        <v>0</v>
      </c>
      <c r="S860" s="395"/>
      <c r="T860" s="395"/>
      <c r="U860" s="395"/>
      <c r="V860" s="396"/>
      <c r="W860" s="376">
        <f>+R860*'Componentes T.H.'!$Q$9*'Parametros Generales'!$C$6</f>
        <v>0</v>
      </c>
      <c r="X860" s="376">
        <f>(+VLOOKUP(C860,'Transporte y Viaticos'!$B$87:$L$120,2,0)*'Parametros Generales'!$C$7*R860)*(2/3)</f>
        <v>0</v>
      </c>
      <c r="Y860" s="417"/>
      <c r="Z860" s="417"/>
      <c r="AA860" s="417"/>
      <c r="AB860" s="417">
        <f>+M860*'Parametros Generales'!$C$6*'Parametros Generales'!$J$9</f>
        <v>0</v>
      </c>
      <c r="AC860" s="417">
        <f>+H860*'Parametros Generales'!$J$10*'Parametros Generales'!$C$6*'Parametros Generales'!$C$11</f>
        <v>0</v>
      </c>
      <c r="AD860" s="417"/>
      <c r="AE860" s="417"/>
      <c r="AF860" s="417"/>
      <c r="AG860" s="417"/>
      <c r="AH860" s="417"/>
      <c r="AI860" s="417"/>
      <c r="AJ860" s="417"/>
      <c r="AK860" s="436"/>
      <c r="AL860" s="822"/>
    </row>
    <row r="861" spans="1:38" s="33" customFormat="1" hidden="1" outlineLevel="1">
      <c r="A861" s="1150"/>
      <c r="B861" s="823">
        <f t="shared" si="68"/>
        <v>54</v>
      </c>
      <c r="C861" s="373" t="str">
        <f t="shared" si="69"/>
        <v>NORTE DE SANTANDER</v>
      </c>
      <c r="D861" s="374"/>
      <c r="E861" s="1113"/>
      <c r="F861" s="1104"/>
      <c r="G861" s="375"/>
      <c r="H861" s="1062"/>
      <c r="I861" s="1057"/>
      <c r="J861" s="1058"/>
      <c r="K861" s="1070" t="str">
        <f t="shared" si="66"/>
        <v>Ok</v>
      </c>
      <c r="L861" s="1077">
        <f t="shared" si="67"/>
        <v>0</v>
      </c>
      <c r="M861" s="1091">
        <f>+H861/'Parametros Generales'!$C$8</f>
        <v>0</v>
      </c>
      <c r="N861" s="1098"/>
      <c r="O861" s="1098"/>
      <c r="P861" s="1098"/>
      <c r="Q861" s="1098"/>
      <c r="R861" s="1098">
        <f>+(M861/'Parametros Generales'!$C$9)</f>
        <v>0</v>
      </c>
      <c r="S861" s="395"/>
      <c r="T861" s="395"/>
      <c r="U861" s="395"/>
      <c r="V861" s="396"/>
      <c r="W861" s="376">
        <f>+R861*'Componentes T.H.'!$Q$9*'Parametros Generales'!$C$6</f>
        <v>0</v>
      </c>
      <c r="X861" s="376">
        <f>(+VLOOKUP(C861,'Transporte y Viaticos'!$B$87:$L$120,2,0)*'Parametros Generales'!$C$7*R861)*(2/3)</f>
        <v>0</v>
      </c>
      <c r="Y861" s="417"/>
      <c r="Z861" s="417"/>
      <c r="AA861" s="417"/>
      <c r="AB861" s="417">
        <f>+M861*'Parametros Generales'!$C$6*'Parametros Generales'!$J$9</f>
        <v>0</v>
      </c>
      <c r="AC861" s="417">
        <f>+H861*'Parametros Generales'!$J$10*'Parametros Generales'!$C$6*'Parametros Generales'!$C$11</f>
        <v>0</v>
      </c>
      <c r="AD861" s="417"/>
      <c r="AE861" s="417"/>
      <c r="AF861" s="417"/>
      <c r="AG861" s="417"/>
      <c r="AH861" s="417"/>
      <c r="AI861" s="417"/>
      <c r="AJ861" s="417"/>
      <c r="AK861" s="436"/>
      <c r="AL861" s="822"/>
    </row>
    <row r="862" spans="1:38" s="33" customFormat="1" hidden="1" outlineLevel="1">
      <c r="A862" s="1150"/>
      <c r="B862" s="823">
        <f t="shared" si="68"/>
        <v>54</v>
      </c>
      <c r="C862" s="373" t="str">
        <f t="shared" si="69"/>
        <v>NORTE DE SANTANDER</v>
      </c>
      <c r="D862" s="374"/>
      <c r="E862" s="1113"/>
      <c r="F862" s="1104"/>
      <c r="G862" s="375"/>
      <c r="H862" s="1062"/>
      <c r="I862" s="1057"/>
      <c r="J862" s="1058"/>
      <c r="K862" s="1070" t="str">
        <f t="shared" si="66"/>
        <v>Ok</v>
      </c>
      <c r="L862" s="1077">
        <f t="shared" si="67"/>
        <v>0</v>
      </c>
      <c r="M862" s="1091">
        <f>+H862/'Parametros Generales'!$C$8</f>
        <v>0</v>
      </c>
      <c r="N862" s="1098"/>
      <c r="O862" s="1098"/>
      <c r="P862" s="1098"/>
      <c r="Q862" s="1098"/>
      <c r="R862" s="1098">
        <f>+(M862/'Parametros Generales'!$C$9)</f>
        <v>0</v>
      </c>
      <c r="S862" s="395"/>
      <c r="T862" s="395"/>
      <c r="U862" s="395"/>
      <c r="V862" s="396"/>
      <c r="W862" s="376">
        <f>+R862*'Componentes T.H.'!$Q$9*'Parametros Generales'!$C$6</f>
        <v>0</v>
      </c>
      <c r="X862" s="376">
        <f>(+VLOOKUP(C862,'Transporte y Viaticos'!$B$87:$L$120,2,0)*'Parametros Generales'!$C$7*R862)*(2/3)</f>
        <v>0</v>
      </c>
      <c r="Y862" s="417"/>
      <c r="Z862" s="417"/>
      <c r="AA862" s="417"/>
      <c r="AB862" s="417">
        <f>+M862*'Parametros Generales'!$C$6*'Parametros Generales'!$J$9</f>
        <v>0</v>
      </c>
      <c r="AC862" s="417">
        <f>+H862*'Parametros Generales'!$J$10*'Parametros Generales'!$C$6*'Parametros Generales'!$C$11</f>
        <v>0</v>
      </c>
      <c r="AD862" s="417"/>
      <c r="AE862" s="417"/>
      <c r="AF862" s="417"/>
      <c r="AG862" s="417"/>
      <c r="AH862" s="417"/>
      <c r="AI862" s="417"/>
      <c r="AJ862" s="417"/>
      <c r="AK862" s="436"/>
      <c r="AL862" s="822"/>
    </row>
    <row r="863" spans="1:38" s="33" customFormat="1" hidden="1" outlineLevel="1">
      <c r="A863" s="1150"/>
      <c r="B863" s="823">
        <f t="shared" si="68"/>
        <v>54</v>
      </c>
      <c r="C863" s="373" t="str">
        <f t="shared" si="69"/>
        <v>NORTE DE SANTANDER</v>
      </c>
      <c r="D863" s="374"/>
      <c r="E863" s="1113"/>
      <c r="F863" s="1104"/>
      <c r="G863" s="375"/>
      <c r="H863" s="1062"/>
      <c r="I863" s="1057"/>
      <c r="J863" s="1058"/>
      <c r="K863" s="1070" t="str">
        <f t="shared" si="66"/>
        <v>Ok</v>
      </c>
      <c r="L863" s="1077">
        <f t="shared" si="67"/>
        <v>0</v>
      </c>
      <c r="M863" s="1091">
        <f>+H863/'Parametros Generales'!$C$8</f>
        <v>0</v>
      </c>
      <c r="N863" s="1098"/>
      <c r="O863" s="1098"/>
      <c r="P863" s="1098"/>
      <c r="Q863" s="1098"/>
      <c r="R863" s="1098">
        <f>+(M863/'Parametros Generales'!$C$9)</f>
        <v>0</v>
      </c>
      <c r="S863" s="395"/>
      <c r="T863" s="395"/>
      <c r="U863" s="395"/>
      <c r="V863" s="396"/>
      <c r="W863" s="376">
        <f>+R863*'Componentes T.H.'!$Q$9*'Parametros Generales'!$C$6</f>
        <v>0</v>
      </c>
      <c r="X863" s="376">
        <f>(+VLOOKUP(C863,'Transporte y Viaticos'!$B$87:$L$120,2,0)*'Parametros Generales'!$C$7*R863)*(2/3)</f>
        <v>0</v>
      </c>
      <c r="Y863" s="417"/>
      <c r="Z863" s="417"/>
      <c r="AA863" s="417"/>
      <c r="AB863" s="417">
        <f>+M863*'Parametros Generales'!$C$6*'Parametros Generales'!$J$9</f>
        <v>0</v>
      </c>
      <c r="AC863" s="417">
        <f>+H863*'Parametros Generales'!$J$10*'Parametros Generales'!$C$6*'Parametros Generales'!$C$11</f>
        <v>0</v>
      </c>
      <c r="AD863" s="417"/>
      <c r="AE863" s="417"/>
      <c r="AF863" s="417"/>
      <c r="AG863" s="417"/>
      <c r="AH863" s="417"/>
      <c r="AI863" s="417"/>
      <c r="AJ863" s="417"/>
      <c r="AK863" s="436"/>
      <c r="AL863" s="822"/>
    </row>
    <row r="864" spans="1:38" s="33" customFormat="1" hidden="1" outlineLevel="1">
      <c r="A864" s="1150"/>
      <c r="B864" s="823">
        <f t="shared" si="68"/>
        <v>54</v>
      </c>
      <c r="C864" s="373" t="str">
        <f t="shared" si="69"/>
        <v>NORTE DE SANTANDER</v>
      </c>
      <c r="D864" s="374"/>
      <c r="E864" s="1113"/>
      <c r="F864" s="1104"/>
      <c r="G864" s="375"/>
      <c r="H864" s="1062"/>
      <c r="I864" s="1057"/>
      <c r="J864" s="1058"/>
      <c r="K864" s="1070" t="str">
        <f t="shared" si="66"/>
        <v>Ok</v>
      </c>
      <c r="L864" s="1077">
        <f t="shared" si="67"/>
        <v>0</v>
      </c>
      <c r="M864" s="1091">
        <f>+H864/'Parametros Generales'!$C$8</f>
        <v>0</v>
      </c>
      <c r="N864" s="1098"/>
      <c r="O864" s="1098"/>
      <c r="P864" s="1098"/>
      <c r="Q864" s="1098"/>
      <c r="R864" s="1098">
        <f>+(M864/'Parametros Generales'!$C$9)</f>
        <v>0</v>
      </c>
      <c r="S864" s="395"/>
      <c r="T864" s="395"/>
      <c r="U864" s="395"/>
      <c r="V864" s="396"/>
      <c r="W864" s="376">
        <f>+R864*'Componentes T.H.'!$Q$9*'Parametros Generales'!$C$6</f>
        <v>0</v>
      </c>
      <c r="X864" s="376">
        <f>(+VLOOKUP(C864,'Transporte y Viaticos'!$B$87:$L$120,2,0)*'Parametros Generales'!$C$7*R864)*(2/3)</f>
        <v>0</v>
      </c>
      <c r="Y864" s="417"/>
      <c r="Z864" s="417"/>
      <c r="AA864" s="417"/>
      <c r="AB864" s="417">
        <f>+M864*'Parametros Generales'!$C$6*'Parametros Generales'!$J$9</f>
        <v>0</v>
      </c>
      <c r="AC864" s="417">
        <f>+H864*'Parametros Generales'!$J$10*'Parametros Generales'!$C$6*'Parametros Generales'!$C$11</f>
        <v>0</v>
      </c>
      <c r="AD864" s="417"/>
      <c r="AE864" s="417"/>
      <c r="AF864" s="417"/>
      <c r="AG864" s="417"/>
      <c r="AH864" s="417"/>
      <c r="AI864" s="417"/>
      <c r="AJ864" s="417"/>
      <c r="AK864" s="436"/>
      <c r="AL864" s="822"/>
    </row>
    <row r="865" spans="1:38" s="33" customFormat="1" hidden="1" outlineLevel="1">
      <c r="A865" s="1150"/>
      <c r="B865" s="823">
        <f t="shared" si="68"/>
        <v>54</v>
      </c>
      <c r="C865" s="373" t="str">
        <f t="shared" si="69"/>
        <v>NORTE DE SANTANDER</v>
      </c>
      <c r="D865" s="374"/>
      <c r="E865" s="1113"/>
      <c r="F865" s="1104"/>
      <c r="G865" s="375"/>
      <c r="H865" s="1062"/>
      <c r="I865" s="1057"/>
      <c r="J865" s="1058"/>
      <c r="K865" s="1070" t="str">
        <f t="shared" si="66"/>
        <v>Ok</v>
      </c>
      <c r="L865" s="1077">
        <f t="shared" si="67"/>
        <v>0</v>
      </c>
      <c r="M865" s="1091">
        <f>+H865/'Parametros Generales'!$C$8</f>
        <v>0</v>
      </c>
      <c r="N865" s="1098"/>
      <c r="O865" s="1098"/>
      <c r="P865" s="1098"/>
      <c r="Q865" s="1098"/>
      <c r="R865" s="1098">
        <f>+(M865/'Parametros Generales'!$C$9)</f>
        <v>0</v>
      </c>
      <c r="S865" s="395"/>
      <c r="T865" s="395"/>
      <c r="U865" s="395"/>
      <c r="V865" s="396"/>
      <c r="W865" s="376">
        <f>+R865*'Componentes T.H.'!$Q$9*'Parametros Generales'!$C$6</f>
        <v>0</v>
      </c>
      <c r="X865" s="376">
        <f>(+VLOOKUP(C865,'Transporte y Viaticos'!$B$87:$L$120,2,0)*'Parametros Generales'!$C$7*R865)*(2/3)</f>
        <v>0</v>
      </c>
      <c r="Y865" s="417"/>
      <c r="Z865" s="417"/>
      <c r="AA865" s="417"/>
      <c r="AB865" s="417">
        <f>+M865*'Parametros Generales'!$C$6*'Parametros Generales'!$J$9</f>
        <v>0</v>
      </c>
      <c r="AC865" s="417">
        <f>+H865*'Parametros Generales'!$J$10*'Parametros Generales'!$C$6*'Parametros Generales'!$C$11</f>
        <v>0</v>
      </c>
      <c r="AD865" s="417"/>
      <c r="AE865" s="417"/>
      <c r="AF865" s="417"/>
      <c r="AG865" s="417"/>
      <c r="AH865" s="417"/>
      <c r="AI865" s="417"/>
      <c r="AJ865" s="417"/>
      <c r="AK865" s="436"/>
      <c r="AL865" s="822"/>
    </row>
    <row r="866" spans="1:38" s="33" customFormat="1" hidden="1" outlineLevel="1">
      <c r="A866" s="1150"/>
      <c r="B866" s="823">
        <f t="shared" si="68"/>
        <v>54</v>
      </c>
      <c r="C866" s="373" t="str">
        <f t="shared" si="69"/>
        <v>NORTE DE SANTANDER</v>
      </c>
      <c r="D866" s="374"/>
      <c r="E866" s="1113"/>
      <c r="F866" s="1104"/>
      <c r="G866" s="375"/>
      <c r="H866" s="1062"/>
      <c r="I866" s="1057"/>
      <c r="J866" s="1058"/>
      <c r="K866" s="1070" t="str">
        <f t="shared" si="66"/>
        <v>Ok</v>
      </c>
      <c r="L866" s="1077">
        <f t="shared" si="67"/>
        <v>0</v>
      </c>
      <c r="M866" s="1091">
        <f>+H866/'Parametros Generales'!$C$8</f>
        <v>0</v>
      </c>
      <c r="N866" s="1098"/>
      <c r="O866" s="1098"/>
      <c r="P866" s="1098"/>
      <c r="Q866" s="1098"/>
      <c r="R866" s="1098">
        <f>+(M866/'Parametros Generales'!$C$9)</f>
        <v>0</v>
      </c>
      <c r="S866" s="395"/>
      <c r="T866" s="395"/>
      <c r="U866" s="395"/>
      <c r="V866" s="396"/>
      <c r="W866" s="376">
        <f>+R866*'Componentes T.H.'!$Q$9*'Parametros Generales'!$C$6</f>
        <v>0</v>
      </c>
      <c r="X866" s="376">
        <f>(+VLOOKUP(C866,'Transporte y Viaticos'!$B$87:$L$120,2,0)*'Parametros Generales'!$C$7*R866)*(2/3)</f>
        <v>0</v>
      </c>
      <c r="Y866" s="417"/>
      <c r="Z866" s="417"/>
      <c r="AA866" s="417"/>
      <c r="AB866" s="417">
        <f>+M866*'Parametros Generales'!$C$6*'Parametros Generales'!$J$9</f>
        <v>0</v>
      </c>
      <c r="AC866" s="417">
        <f>+H866*'Parametros Generales'!$J$10*'Parametros Generales'!$C$6*'Parametros Generales'!$C$11</f>
        <v>0</v>
      </c>
      <c r="AD866" s="417"/>
      <c r="AE866" s="417"/>
      <c r="AF866" s="417"/>
      <c r="AG866" s="417"/>
      <c r="AH866" s="417"/>
      <c r="AI866" s="417"/>
      <c r="AJ866" s="417"/>
      <c r="AK866" s="436"/>
      <c r="AL866" s="822"/>
    </row>
    <row r="867" spans="1:38" s="33" customFormat="1" hidden="1" outlineLevel="1">
      <c r="A867" s="1150"/>
      <c r="B867" s="823">
        <f t="shared" si="68"/>
        <v>54</v>
      </c>
      <c r="C867" s="373" t="str">
        <f t="shared" si="69"/>
        <v>NORTE DE SANTANDER</v>
      </c>
      <c r="D867" s="374"/>
      <c r="E867" s="1113"/>
      <c r="F867" s="1104"/>
      <c r="G867" s="375"/>
      <c r="H867" s="1062"/>
      <c r="I867" s="1057"/>
      <c r="J867" s="1058"/>
      <c r="K867" s="1070" t="str">
        <f t="shared" si="66"/>
        <v>Ok</v>
      </c>
      <c r="L867" s="1077">
        <f t="shared" si="67"/>
        <v>0</v>
      </c>
      <c r="M867" s="1091">
        <f>+H867/'Parametros Generales'!$C$8</f>
        <v>0</v>
      </c>
      <c r="N867" s="1098"/>
      <c r="O867" s="1098"/>
      <c r="P867" s="1098"/>
      <c r="Q867" s="1098"/>
      <c r="R867" s="1098">
        <f>+(M867/'Parametros Generales'!$C$9)</f>
        <v>0</v>
      </c>
      <c r="S867" s="395"/>
      <c r="T867" s="395"/>
      <c r="U867" s="395"/>
      <c r="V867" s="396"/>
      <c r="W867" s="376">
        <f>+R867*'Componentes T.H.'!$Q$9*'Parametros Generales'!$C$6</f>
        <v>0</v>
      </c>
      <c r="X867" s="376">
        <f>(+VLOOKUP(C867,'Transporte y Viaticos'!$B$87:$L$120,2,0)*'Parametros Generales'!$C$7*R867)*(2/3)</f>
        <v>0</v>
      </c>
      <c r="Y867" s="417"/>
      <c r="Z867" s="417"/>
      <c r="AA867" s="417"/>
      <c r="AB867" s="417">
        <f>+M867*'Parametros Generales'!$C$6*'Parametros Generales'!$J$9</f>
        <v>0</v>
      </c>
      <c r="AC867" s="417">
        <f>+H867*'Parametros Generales'!$J$10*'Parametros Generales'!$C$6*'Parametros Generales'!$C$11</f>
        <v>0</v>
      </c>
      <c r="AD867" s="417"/>
      <c r="AE867" s="417"/>
      <c r="AF867" s="417"/>
      <c r="AG867" s="417"/>
      <c r="AH867" s="417"/>
      <c r="AI867" s="417"/>
      <c r="AJ867" s="417"/>
      <c r="AK867" s="436"/>
      <c r="AL867" s="822"/>
    </row>
    <row r="868" spans="1:38" s="33" customFormat="1" hidden="1" outlineLevel="1">
      <c r="A868" s="1150"/>
      <c r="B868" s="823">
        <f t="shared" si="68"/>
        <v>54</v>
      </c>
      <c r="C868" s="373" t="str">
        <f t="shared" si="69"/>
        <v>NORTE DE SANTANDER</v>
      </c>
      <c r="D868" s="374"/>
      <c r="E868" s="1113"/>
      <c r="F868" s="1104"/>
      <c r="G868" s="375"/>
      <c r="H868" s="1062"/>
      <c r="I868" s="1057"/>
      <c r="J868" s="1058"/>
      <c r="K868" s="1070" t="str">
        <f t="shared" si="66"/>
        <v>Ok</v>
      </c>
      <c r="L868" s="1077">
        <f t="shared" si="67"/>
        <v>0</v>
      </c>
      <c r="M868" s="1091">
        <f>+H868/'Parametros Generales'!$C$8</f>
        <v>0</v>
      </c>
      <c r="N868" s="1098"/>
      <c r="O868" s="1098"/>
      <c r="P868" s="1098"/>
      <c r="Q868" s="1098"/>
      <c r="R868" s="1098">
        <f>+(M868/'Parametros Generales'!$C$9)</f>
        <v>0</v>
      </c>
      <c r="S868" s="395"/>
      <c r="T868" s="395"/>
      <c r="U868" s="395"/>
      <c r="V868" s="396"/>
      <c r="W868" s="376">
        <f>+R868*'Componentes T.H.'!$Q$9*'Parametros Generales'!$C$6</f>
        <v>0</v>
      </c>
      <c r="X868" s="376">
        <f>(+VLOOKUP(C868,'Transporte y Viaticos'!$B$87:$L$120,2,0)*'Parametros Generales'!$C$7*R868)*(2/3)</f>
        <v>0</v>
      </c>
      <c r="Y868" s="417"/>
      <c r="Z868" s="417"/>
      <c r="AA868" s="417"/>
      <c r="AB868" s="417">
        <f>+M868*'Parametros Generales'!$C$6*'Parametros Generales'!$J$9</f>
        <v>0</v>
      </c>
      <c r="AC868" s="417">
        <f>+H868*'Parametros Generales'!$J$10*'Parametros Generales'!$C$6*'Parametros Generales'!$C$11</f>
        <v>0</v>
      </c>
      <c r="AD868" s="417"/>
      <c r="AE868" s="417"/>
      <c r="AF868" s="417"/>
      <c r="AG868" s="417"/>
      <c r="AH868" s="417"/>
      <c r="AI868" s="417"/>
      <c r="AJ868" s="417"/>
      <c r="AK868" s="436"/>
      <c r="AL868" s="822"/>
    </row>
    <row r="869" spans="1:38" s="33" customFormat="1" hidden="1" outlineLevel="1">
      <c r="A869" s="1150"/>
      <c r="B869" s="823">
        <f t="shared" si="68"/>
        <v>54</v>
      </c>
      <c r="C869" s="373" t="str">
        <f t="shared" si="69"/>
        <v>NORTE DE SANTANDER</v>
      </c>
      <c r="D869" s="374"/>
      <c r="E869" s="1113"/>
      <c r="F869" s="1104"/>
      <c r="G869" s="375"/>
      <c r="H869" s="1062"/>
      <c r="I869" s="1057"/>
      <c r="J869" s="1058"/>
      <c r="K869" s="1070" t="str">
        <f t="shared" si="66"/>
        <v>Ok</v>
      </c>
      <c r="L869" s="1077">
        <f t="shared" si="67"/>
        <v>0</v>
      </c>
      <c r="M869" s="1091">
        <f>+H869/'Parametros Generales'!$C$8</f>
        <v>0</v>
      </c>
      <c r="N869" s="1098"/>
      <c r="O869" s="1098"/>
      <c r="P869" s="1098"/>
      <c r="Q869" s="1098"/>
      <c r="R869" s="1098">
        <f>+(M869/'Parametros Generales'!$C$9)</f>
        <v>0</v>
      </c>
      <c r="S869" s="395"/>
      <c r="T869" s="395"/>
      <c r="U869" s="395"/>
      <c r="V869" s="396"/>
      <c r="W869" s="376">
        <f>+R869*'Componentes T.H.'!$Q$9*'Parametros Generales'!$C$6</f>
        <v>0</v>
      </c>
      <c r="X869" s="376">
        <f>(+VLOOKUP(C869,'Transporte y Viaticos'!$B$87:$L$120,2,0)*'Parametros Generales'!$C$7*R869)*(2/3)</f>
        <v>0</v>
      </c>
      <c r="Y869" s="417"/>
      <c r="Z869" s="417"/>
      <c r="AA869" s="417"/>
      <c r="AB869" s="417">
        <f>+M869*'Parametros Generales'!$C$6*'Parametros Generales'!$J$9</f>
        <v>0</v>
      </c>
      <c r="AC869" s="417">
        <f>+H869*'Parametros Generales'!$J$10*'Parametros Generales'!$C$6*'Parametros Generales'!$C$11</f>
        <v>0</v>
      </c>
      <c r="AD869" s="417"/>
      <c r="AE869" s="417"/>
      <c r="AF869" s="417"/>
      <c r="AG869" s="417"/>
      <c r="AH869" s="417"/>
      <c r="AI869" s="417"/>
      <c r="AJ869" s="417"/>
      <c r="AK869" s="436"/>
      <c r="AL869" s="822"/>
    </row>
    <row r="870" spans="1:38" s="33" customFormat="1" hidden="1" outlineLevel="1">
      <c r="A870" s="1150"/>
      <c r="B870" s="823">
        <f t="shared" si="68"/>
        <v>54</v>
      </c>
      <c r="C870" s="373" t="str">
        <f t="shared" si="69"/>
        <v>NORTE DE SANTANDER</v>
      </c>
      <c r="D870" s="374"/>
      <c r="E870" s="1113"/>
      <c r="F870" s="1104"/>
      <c r="G870" s="375"/>
      <c r="H870" s="1062"/>
      <c r="I870" s="1057"/>
      <c r="J870" s="1058"/>
      <c r="K870" s="1070" t="str">
        <f t="shared" si="66"/>
        <v>Ok</v>
      </c>
      <c r="L870" s="1077">
        <f t="shared" si="67"/>
        <v>0</v>
      </c>
      <c r="M870" s="1091">
        <f>+H870/'Parametros Generales'!$C$8</f>
        <v>0</v>
      </c>
      <c r="N870" s="1098"/>
      <c r="O870" s="1098"/>
      <c r="P870" s="1098"/>
      <c r="Q870" s="1098"/>
      <c r="R870" s="1098">
        <f>+(M870/'Parametros Generales'!$C$9)</f>
        <v>0</v>
      </c>
      <c r="S870" s="395"/>
      <c r="T870" s="395"/>
      <c r="U870" s="395"/>
      <c r="V870" s="396"/>
      <c r="W870" s="376">
        <f>+R870*'Componentes T.H.'!$Q$9*'Parametros Generales'!$C$6</f>
        <v>0</v>
      </c>
      <c r="X870" s="376">
        <f>(+VLOOKUP(C870,'Transporte y Viaticos'!$B$87:$L$120,2,0)*'Parametros Generales'!$C$7*R870)*(2/3)</f>
        <v>0</v>
      </c>
      <c r="Y870" s="417"/>
      <c r="Z870" s="417"/>
      <c r="AA870" s="417"/>
      <c r="AB870" s="417">
        <f>+M870*'Parametros Generales'!$C$6*'Parametros Generales'!$J$9</f>
        <v>0</v>
      </c>
      <c r="AC870" s="417">
        <f>+H870*'Parametros Generales'!$J$10*'Parametros Generales'!$C$6*'Parametros Generales'!$C$11</f>
        <v>0</v>
      </c>
      <c r="AD870" s="417"/>
      <c r="AE870" s="417"/>
      <c r="AF870" s="417"/>
      <c r="AG870" s="417"/>
      <c r="AH870" s="417"/>
      <c r="AI870" s="417"/>
      <c r="AJ870" s="417"/>
      <c r="AK870" s="436"/>
      <c r="AL870" s="822"/>
    </row>
    <row r="871" spans="1:38" s="392" customFormat="1" collapsed="1">
      <c r="A871" s="1151">
        <v>20</v>
      </c>
      <c r="B871" s="824">
        <v>63</v>
      </c>
      <c r="C871" s="385" t="s">
        <v>2138</v>
      </c>
      <c r="D871" s="386"/>
      <c r="E871" s="1114" t="s">
        <v>2138</v>
      </c>
      <c r="F871" s="1105">
        <f>SUM(F872:F883)</f>
        <v>12</v>
      </c>
      <c r="G871" s="388">
        <f>+SUM(G872:G883)</f>
        <v>3036</v>
      </c>
      <c r="H871" s="512">
        <f>+SUM(H872:H896)</f>
        <v>2800</v>
      </c>
      <c r="I871" s="1057" t="s">
        <v>2138</v>
      </c>
      <c r="J871" s="1067">
        <v>2800</v>
      </c>
      <c r="K871" s="1069" t="str">
        <f t="shared" si="66"/>
        <v>Ok</v>
      </c>
      <c r="L871" s="1077">
        <f t="shared" si="67"/>
        <v>0</v>
      </c>
      <c r="M871" s="512">
        <f>+SUM(M872:M896)</f>
        <v>112</v>
      </c>
      <c r="N871" s="1073">
        <f>+VLOOKUP(H871,'Parametros Generales'!$B$14:$D$17,3,TRUE)</f>
        <v>0.6</v>
      </c>
      <c r="O871" s="1073">
        <f>+VLOOKUP(H871,'Parametros Generales'!$B$14:$D$17,3,TRUE)</f>
        <v>0.6</v>
      </c>
      <c r="P871" s="1073">
        <f>+VLOOKUP(H871,'Parametros Generales'!$B$14:$D$17,3,TRUE)</f>
        <v>0.6</v>
      </c>
      <c r="Q871" s="1073">
        <f>+R871/'Parametros Generales'!$C$10</f>
        <v>3.5</v>
      </c>
      <c r="R871" s="512">
        <f>+SUM(R872:R896)</f>
        <v>28</v>
      </c>
      <c r="S871" s="390">
        <f>+VLOOKUP(S$1,'Componentes T.H.'!$B$4:$R$22,'Componentes T.H.'!$Q$1,0)*'Parametros Generales'!$C$6*'Cost x Depart'!N871</f>
        <v>8794058.4826000016</v>
      </c>
      <c r="T871" s="390">
        <f>+VLOOKUP(T$1,'Componentes T.H.'!$B$4:$R$22,'Componentes T.H.'!$Q$1,0)*'Parametros Generales'!$C$6*'Cost x Depart'!O871</f>
        <v>6626289.3953999998</v>
      </c>
      <c r="U871" s="390">
        <f>+VLOOKUP(U$1,'Componentes T.H.'!$B$4:$R$22,'Componentes T.H.'!$Q$1,0)*'Parametros Generales'!$C$6*'Cost x Depart'!P871</f>
        <v>2934259.1999999997</v>
      </c>
      <c r="V871" s="389">
        <f>+VLOOKUP(V$1,'Componentes T.H.'!$B$4:$R$22,'Componentes T.H.'!$Q$1,0)*'Parametros Generales'!$C$6*'Cost x Depart'!Q871</f>
        <v>34968666.370166667</v>
      </c>
      <c r="W871" s="512">
        <f>+SUM(W872:W896)</f>
        <v>140518197.98800001</v>
      </c>
      <c r="X871" s="512">
        <f>+SUM(X872:X896)</f>
        <v>21796276.735534314</v>
      </c>
      <c r="Y871" s="391">
        <f>+VLOOKUP(C872,'Transporte y Viaticos'!$B$87:$F$120,2,0)*((O871/'Parametros Generales'!$J$14)+(Q871/'Parametros Generales'!$J$15)+(R871/'Parametros Generales'!$J$16))*'Parametros Generales'!$C$6</f>
        <v>1056730.2024459941</v>
      </c>
      <c r="Z871" s="391">
        <f>+(N871+O871+Q871)*'Parametros Generales'!$C$6*'Parametros Generales'!$J$7</f>
        <v>924114</v>
      </c>
      <c r="AA871" s="391">
        <f>+SUM(N871:R871)*'Parametros Generales'!$C$6*'Parametros Generales'!$J$8</f>
        <v>5977350</v>
      </c>
      <c r="AB871" s="512">
        <f>+SUM(AB872:AB896)</f>
        <v>54533818.181818202</v>
      </c>
      <c r="AC871" s="512">
        <f>+SUM(AC872:AC896)</f>
        <v>206338982.74362281</v>
      </c>
      <c r="AD871" s="391">
        <f>+'Parametros Generales'!$J$11*SUM(N871:R871)</f>
        <v>1120212</v>
      </c>
      <c r="AE871" s="436">
        <f>+SUM(S871:AD871)</f>
        <v>485588955.29958797</v>
      </c>
      <c r="AF871" s="391">
        <f>+AE871*(SUM('Res de Costos Pais'!G117:G117))</f>
        <v>33262843.438021779</v>
      </c>
      <c r="AG871" s="391">
        <f>+AE871+AF871</f>
        <v>518851798.73760974</v>
      </c>
      <c r="AH871" s="391">
        <f>+AG871*SUM('Res de Costos Pais'!$G$123:$G$124)</f>
        <v>5012108.37580531</v>
      </c>
      <c r="AI871" s="391">
        <f>+(AG871+AH871)*'Res de Costos Pais'!$G$136</f>
        <v>1414432.5492062208</v>
      </c>
      <c r="AJ871" s="391">
        <f>+(AG871+AH871+AI871)*'Res de Costos Pais'!$G$140</f>
        <v>2101113.3586504851</v>
      </c>
      <c r="AK871" s="391">
        <f>+AG871+AH871+AI871+AJ871</f>
        <v>527379453.02127177</v>
      </c>
      <c r="AL871" s="820">
        <f>IF(ISERROR((+(AK871/H871)/'Parametros Generales'!$C$6)),0,(+(AK871/H871)/'Parametros Generales'!$C$6))</f>
        <v>37669.960930090841</v>
      </c>
    </row>
    <row r="872" spans="1:38" s="33" customFormat="1" hidden="1" outlineLevel="1">
      <c r="A872" s="1150"/>
      <c r="B872" s="819">
        <v>63</v>
      </c>
      <c r="C872" s="377" t="s">
        <v>2138</v>
      </c>
      <c r="D872" s="378">
        <f>+VLOOKUP(E872,Codigos!$A$1:$B$1123,2,0)</f>
        <v>63001</v>
      </c>
      <c r="E872" s="1110" t="s">
        <v>2139</v>
      </c>
      <c r="F872" s="1102">
        <v>1</v>
      </c>
      <c r="G872" s="379">
        <v>858</v>
      </c>
      <c r="H872" s="1060">
        <f>CEILING(G872+40+300,'Parametros Generales'!$C$8)</f>
        <v>1200</v>
      </c>
      <c r="I872" s="1057" t="s">
        <v>560</v>
      </c>
      <c r="J872" s="1058">
        <v>1200</v>
      </c>
      <c r="K872" s="1070" t="str">
        <f t="shared" si="66"/>
        <v>Ok</v>
      </c>
      <c r="L872" s="1077">
        <f t="shared" si="67"/>
        <v>0</v>
      </c>
      <c r="M872" s="1089">
        <f>+H872/'Parametros Generales'!$C$8</f>
        <v>48</v>
      </c>
      <c r="N872" s="1096"/>
      <c r="O872" s="1096"/>
      <c r="P872" s="1096"/>
      <c r="Q872" s="1096"/>
      <c r="R872" s="1096">
        <f>+(M872/'Parametros Generales'!$C$9)</f>
        <v>12</v>
      </c>
      <c r="S872" s="393"/>
      <c r="T872" s="393"/>
      <c r="U872" s="393"/>
      <c r="V872" s="394"/>
      <c r="W872" s="380">
        <f>+R872*'Componentes T.H.'!$Q$9*'Parametros Generales'!$C$6</f>
        <v>60222084.851999998</v>
      </c>
      <c r="X872" s="380">
        <f>(+VLOOKUP(C872,'Transporte y Viaticos'!$B$87:$L$120,2,0)*'Parametros Generales'!$C$7*R872)*(2/3)</f>
        <v>9341261.4580861349</v>
      </c>
      <c r="Y872" s="417"/>
      <c r="Z872" s="417"/>
      <c r="AA872" s="417"/>
      <c r="AB872" s="417">
        <f>+M872*'Parametros Generales'!$C$6*'Parametros Generales'!$J$9</f>
        <v>23371636.363636371</v>
      </c>
      <c r="AC872" s="417">
        <f>+H872*'Parametros Generales'!$J$10*'Parametros Generales'!$C$6*'Parametros Generales'!$C$11</f>
        <v>88430992.604409769</v>
      </c>
      <c r="AD872" s="417"/>
      <c r="AE872" s="417"/>
      <c r="AF872" s="417"/>
      <c r="AG872" s="417"/>
      <c r="AH872" s="417"/>
      <c r="AI872" s="417"/>
      <c r="AJ872" s="417"/>
      <c r="AK872" s="436"/>
      <c r="AL872" s="822"/>
    </row>
    <row r="873" spans="1:38" s="33" customFormat="1" hidden="1" outlineLevel="1">
      <c r="A873" s="1150"/>
      <c r="B873" s="821">
        <v>63</v>
      </c>
      <c r="C873" s="371" t="s">
        <v>2138</v>
      </c>
      <c r="D873" s="31">
        <f>+VLOOKUP(E873,Codigos!$A$1:$B$1123,2,0)</f>
        <v>63111</v>
      </c>
      <c r="E873" s="1111" t="s">
        <v>2140</v>
      </c>
      <c r="F873" s="1103">
        <v>1</v>
      </c>
      <c r="G873" s="30">
        <v>198</v>
      </c>
      <c r="H873" s="1061">
        <f>CEILING((G873-100),'Parametros Generales'!$C$8)</f>
        <v>100</v>
      </c>
      <c r="I873" s="1057" t="s">
        <v>561</v>
      </c>
      <c r="J873" s="1058">
        <v>100</v>
      </c>
      <c r="K873" s="1070" t="str">
        <f t="shared" si="66"/>
        <v>Ok</v>
      </c>
      <c r="L873" s="1077">
        <f t="shared" si="67"/>
        <v>0</v>
      </c>
      <c r="M873" s="1090">
        <f>+H873/'Parametros Generales'!$C$8</f>
        <v>4</v>
      </c>
      <c r="N873" s="1097"/>
      <c r="O873" s="1097"/>
      <c r="P873" s="1097"/>
      <c r="Q873" s="1097"/>
      <c r="R873" s="1097">
        <f>+(M873/'Parametros Generales'!$C$9)</f>
        <v>1</v>
      </c>
      <c r="S873" s="390"/>
      <c r="T873" s="390"/>
      <c r="U873" s="390"/>
      <c r="V873" s="389"/>
      <c r="W873" s="32">
        <f>+R873*'Componentes T.H.'!$Q$9*'Parametros Generales'!$C$6</f>
        <v>5018507.0710000005</v>
      </c>
      <c r="X873" s="32">
        <f>(+VLOOKUP(C873,'Transporte y Viaticos'!$B$87:$L$120,2,0)*'Parametros Generales'!$C$7*R873)*(2/3)</f>
        <v>778438.4548405112</v>
      </c>
      <c r="Y873" s="417"/>
      <c r="Z873" s="417"/>
      <c r="AA873" s="417"/>
      <c r="AB873" s="417">
        <f>+M873*'Parametros Generales'!$C$6*'Parametros Generales'!$J$9</f>
        <v>1947636.3636363642</v>
      </c>
      <c r="AC873" s="417">
        <f>+H873*'Parametros Generales'!$J$10*'Parametros Generales'!$C$6*'Parametros Generales'!$C$11</f>
        <v>7369249.3837008122</v>
      </c>
      <c r="AD873" s="417"/>
      <c r="AE873" s="417"/>
      <c r="AF873" s="417"/>
      <c r="AG873" s="417"/>
      <c r="AH873" s="417"/>
      <c r="AI873" s="417"/>
      <c r="AJ873" s="417"/>
      <c r="AK873" s="436"/>
      <c r="AL873" s="822"/>
    </row>
    <row r="874" spans="1:38" s="33" customFormat="1" hidden="1" outlineLevel="1">
      <c r="A874" s="1150"/>
      <c r="B874" s="821">
        <v>63</v>
      </c>
      <c r="C874" s="371" t="s">
        <v>2138</v>
      </c>
      <c r="D874" s="31">
        <f>+VLOOKUP(E874,Codigos!$A$1:$B$1123,2,0)</f>
        <v>63130</v>
      </c>
      <c r="E874" s="1111" t="s">
        <v>2141</v>
      </c>
      <c r="F874" s="1103">
        <v>1</v>
      </c>
      <c r="G874" s="30">
        <v>198</v>
      </c>
      <c r="H874" s="1061">
        <f>CEILING(G874,'Parametros Generales'!$C$8)</f>
        <v>200</v>
      </c>
      <c r="I874" s="1057" t="s">
        <v>562</v>
      </c>
      <c r="J874" s="1058">
        <v>200</v>
      </c>
      <c r="K874" s="1070" t="str">
        <f t="shared" si="66"/>
        <v>Ok</v>
      </c>
      <c r="L874" s="1076">
        <f t="shared" si="67"/>
        <v>0</v>
      </c>
      <c r="M874" s="1090">
        <f>+H874/'Parametros Generales'!$C$8</f>
        <v>8</v>
      </c>
      <c r="N874" s="1097"/>
      <c r="O874" s="1097"/>
      <c r="P874" s="1097"/>
      <c r="Q874" s="1097"/>
      <c r="R874" s="1097">
        <f>+(M874/'Parametros Generales'!$C$9)</f>
        <v>2</v>
      </c>
      <c r="S874" s="390"/>
      <c r="T874" s="390"/>
      <c r="U874" s="390"/>
      <c r="V874" s="389"/>
      <c r="W874" s="32">
        <f>+R874*'Componentes T.H.'!$Q$9*'Parametros Generales'!$C$6</f>
        <v>10037014.142000001</v>
      </c>
      <c r="X874" s="32">
        <f>(+VLOOKUP(C874,'Transporte y Viaticos'!$B$87:$L$120,2,0)*'Parametros Generales'!$C$7*R874)*(2/3)</f>
        <v>1556876.9096810224</v>
      </c>
      <c r="Y874" s="417"/>
      <c r="Z874" s="417"/>
      <c r="AA874" s="417"/>
      <c r="AB874" s="417">
        <f>+M874*'Parametros Generales'!$C$6*'Parametros Generales'!$J$9</f>
        <v>3895272.7272727285</v>
      </c>
      <c r="AC874" s="417">
        <f>+H874*'Parametros Generales'!$J$10*'Parametros Generales'!$C$6*'Parametros Generales'!$C$11</f>
        <v>14738498.767401624</v>
      </c>
      <c r="AD874" s="417"/>
      <c r="AE874" s="417"/>
      <c r="AF874" s="417"/>
      <c r="AG874" s="417"/>
      <c r="AH874" s="417"/>
      <c r="AI874" s="417"/>
      <c r="AJ874" s="417"/>
      <c r="AK874" s="436"/>
      <c r="AL874" s="822"/>
    </row>
    <row r="875" spans="1:38" s="33" customFormat="1" hidden="1" outlineLevel="1">
      <c r="A875" s="1150"/>
      <c r="B875" s="821">
        <v>63</v>
      </c>
      <c r="C875" s="371" t="s">
        <v>2138</v>
      </c>
      <c r="D875" s="31">
        <f>+VLOOKUP(E875,Codigos!$A$1:$B$1123,2,0)</f>
        <v>63190</v>
      </c>
      <c r="E875" s="1111" t="s">
        <v>2142</v>
      </c>
      <c r="F875" s="1103">
        <v>1</v>
      </c>
      <c r="G875" s="30">
        <v>198</v>
      </c>
      <c r="H875" s="1061">
        <f>CEILING(G875,'Parametros Generales'!$C$8)</f>
        <v>200</v>
      </c>
      <c r="I875" s="1057" t="s">
        <v>563</v>
      </c>
      <c r="J875" s="1058">
        <v>200</v>
      </c>
      <c r="K875" s="1070" t="str">
        <f t="shared" si="66"/>
        <v>Ok</v>
      </c>
      <c r="L875" s="1077">
        <f t="shared" si="67"/>
        <v>0</v>
      </c>
      <c r="M875" s="1090">
        <f>+H875/'Parametros Generales'!$C$8</f>
        <v>8</v>
      </c>
      <c r="N875" s="1097"/>
      <c r="O875" s="1097"/>
      <c r="P875" s="1097"/>
      <c r="Q875" s="1097"/>
      <c r="R875" s="1097">
        <f>+(M875/'Parametros Generales'!$C$9)</f>
        <v>2</v>
      </c>
      <c r="S875" s="390"/>
      <c r="T875" s="390"/>
      <c r="U875" s="390"/>
      <c r="V875" s="389"/>
      <c r="W875" s="32">
        <f>+R875*'Componentes T.H.'!$Q$9*'Parametros Generales'!$C$6</f>
        <v>10037014.142000001</v>
      </c>
      <c r="X875" s="32">
        <f>(+VLOOKUP(C875,'Transporte y Viaticos'!$B$87:$L$120,2,0)*'Parametros Generales'!$C$7*R875)*(2/3)</f>
        <v>1556876.9096810224</v>
      </c>
      <c r="Y875" s="417"/>
      <c r="Z875" s="417"/>
      <c r="AA875" s="417"/>
      <c r="AB875" s="417">
        <f>+M875*'Parametros Generales'!$C$6*'Parametros Generales'!$J$9</f>
        <v>3895272.7272727285</v>
      </c>
      <c r="AC875" s="417">
        <f>+H875*'Parametros Generales'!$J$10*'Parametros Generales'!$C$6*'Parametros Generales'!$C$11</f>
        <v>14738498.767401624</v>
      </c>
      <c r="AD875" s="417"/>
      <c r="AE875" s="417"/>
      <c r="AF875" s="417"/>
      <c r="AG875" s="417"/>
      <c r="AH875" s="417"/>
      <c r="AI875" s="417"/>
      <c r="AJ875" s="417"/>
      <c r="AK875" s="436"/>
      <c r="AL875" s="822"/>
    </row>
    <row r="876" spans="1:38" s="33" customFormat="1" hidden="1" outlineLevel="1">
      <c r="A876" s="1150"/>
      <c r="B876" s="821">
        <v>63</v>
      </c>
      <c r="C876" s="371" t="s">
        <v>2138</v>
      </c>
      <c r="D876" s="31" t="e">
        <f>+VLOOKUP(E876,Codigos!$A$1:$B$1123,2,0)</f>
        <v>#N/A</v>
      </c>
      <c r="E876" s="1111" t="s">
        <v>2403</v>
      </c>
      <c r="F876" s="1103">
        <v>1</v>
      </c>
      <c r="G876" s="30">
        <v>198</v>
      </c>
      <c r="H876" s="1061">
        <f>CEILING((G876-100),'Parametros Generales'!$C$8)</f>
        <v>100</v>
      </c>
      <c r="I876" s="1057" t="s">
        <v>2403</v>
      </c>
      <c r="J876" s="1058">
        <v>100</v>
      </c>
      <c r="K876" s="1070" t="str">
        <f t="shared" si="66"/>
        <v>Ok</v>
      </c>
      <c r="L876" s="1077">
        <f t="shared" si="67"/>
        <v>0</v>
      </c>
      <c r="M876" s="1090">
        <f>+H876/'Parametros Generales'!$C$8</f>
        <v>4</v>
      </c>
      <c r="N876" s="1097"/>
      <c r="O876" s="1097"/>
      <c r="P876" s="1097"/>
      <c r="Q876" s="1097"/>
      <c r="R876" s="1097">
        <f>+(M876/'Parametros Generales'!$C$9)</f>
        <v>1</v>
      </c>
      <c r="S876" s="390"/>
      <c r="T876" s="390"/>
      <c r="U876" s="390"/>
      <c r="V876" s="389"/>
      <c r="W876" s="32">
        <f>+R876*'Componentes T.H.'!$Q$9*'Parametros Generales'!$C$6</f>
        <v>5018507.0710000005</v>
      </c>
      <c r="X876" s="32">
        <f>(+VLOOKUP(C876,'Transporte y Viaticos'!$B$87:$L$120,2,0)*'Parametros Generales'!$C$7*R876)*(2/3)</f>
        <v>778438.4548405112</v>
      </c>
      <c r="Y876" s="417"/>
      <c r="Z876" s="417"/>
      <c r="AA876" s="417"/>
      <c r="AB876" s="417">
        <f>+M876*'Parametros Generales'!$C$6*'Parametros Generales'!$J$9</f>
        <v>1947636.3636363642</v>
      </c>
      <c r="AC876" s="417">
        <f>+H876*'Parametros Generales'!$J$10*'Parametros Generales'!$C$6*'Parametros Generales'!$C$11</f>
        <v>7369249.3837008122</v>
      </c>
      <c r="AD876" s="417"/>
      <c r="AE876" s="417"/>
      <c r="AF876" s="417"/>
      <c r="AG876" s="417"/>
      <c r="AH876" s="417"/>
      <c r="AI876" s="417"/>
      <c r="AJ876" s="417"/>
      <c r="AK876" s="436"/>
      <c r="AL876" s="822"/>
    </row>
    <row r="877" spans="1:38" s="33" customFormat="1" hidden="1" outlineLevel="1">
      <c r="A877" s="1150"/>
      <c r="B877" s="821">
        <v>63</v>
      </c>
      <c r="C877" s="371" t="s">
        <v>2138</v>
      </c>
      <c r="D877" s="31">
        <f>+VLOOKUP(E877,Codigos!$A$1:$B$1123,2,0)</f>
        <v>63272</v>
      </c>
      <c r="E877" s="1111" t="s">
        <v>2143</v>
      </c>
      <c r="F877" s="1103">
        <v>1</v>
      </c>
      <c r="G877" s="30">
        <v>198</v>
      </c>
      <c r="H877" s="1061">
        <f>CEILING((G877-100),'Parametros Generales'!$C$8)</f>
        <v>100</v>
      </c>
      <c r="I877" s="1057" t="s">
        <v>565</v>
      </c>
      <c r="J877" s="1058">
        <v>100</v>
      </c>
      <c r="K877" s="1070" t="str">
        <f t="shared" si="66"/>
        <v>Ok</v>
      </c>
      <c r="L877" s="1077">
        <f t="shared" si="67"/>
        <v>0</v>
      </c>
      <c r="M877" s="1090">
        <f>+H877/'Parametros Generales'!$C$8</f>
        <v>4</v>
      </c>
      <c r="N877" s="1097"/>
      <c r="O877" s="1097"/>
      <c r="P877" s="1097"/>
      <c r="Q877" s="1097"/>
      <c r="R877" s="1097">
        <f>+(M877/'Parametros Generales'!$C$9)</f>
        <v>1</v>
      </c>
      <c r="S877" s="390"/>
      <c r="T877" s="390"/>
      <c r="U877" s="390"/>
      <c r="V877" s="389"/>
      <c r="W877" s="32">
        <f>+R877*'Componentes T.H.'!$Q$9*'Parametros Generales'!$C$6</f>
        <v>5018507.0710000005</v>
      </c>
      <c r="X877" s="32">
        <f>(+VLOOKUP(C877,'Transporte y Viaticos'!$B$87:$L$120,2,0)*'Parametros Generales'!$C$7*R877)*(2/3)</f>
        <v>778438.4548405112</v>
      </c>
      <c r="Y877" s="417"/>
      <c r="Z877" s="417"/>
      <c r="AA877" s="417"/>
      <c r="AB877" s="417">
        <f>+M877*'Parametros Generales'!$C$6*'Parametros Generales'!$J$9</f>
        <v>1947636.3636363642</v>
      </c>
      <c r="AC877" s="417">
        <f>+H877*'Parametros Generales'!$J$10*'Parametros Generales'!$C$6*'Parametros Generales'!$C$11</f>
        <v>7369249.3837008122</v>
      </c>
      <c r="AD877" s="417"/>
      <c r="AE877" s="417"/>
      <c r="AF877" s="417"/>
      <c r="AG877" s="417"/>
      <c r="AH877" s="417"/>
      <c r="AI877" s="417"/>
      <c r="AJ877" s="417"/>
      <c r="AK877" s="436"/>
      <c r="AL877" s="822"/>
    </row>
    <row r="878" spans="1:38" s="33" customFormat="1" hidden="1" outlineLevel="1">
      <c r="A878" s="1150"/>
      <c r="B878" s="821">
        <v>63</v>
      </c>
      <c r="C878" s="371" t="s">
        <v>2138</v>
      </c>
      <c r="D878" s="31">
        <f>+VLOOKUP(E878,Codigos!$A$1:$B$1123,2,0)</f>
        <v>63302</v>
      </c>
      <c r="E878" s="1111" t="s">
        <v>2144</v>
      </c>
      <c r="F878" s="1103">
        <v>1</v>
      </c>
      <c r="G878" s="30">
        <v>198</v>
      </c>
      <c r="H878" s="1061">
        <f>CEILING((G878-100),'Parametros Generales'!$C$8)</f>
        <v>100</v>
      </c>
      <c r="I878" s="1057" t="s">
        <v>566</v>
      </c>
      <c r="J878" s="1058">
        <v>100</v>
      </c>
      <c r="K878" s="1070" t="str">
        <f t="shared" si="66"/>
        <v>Ok</v>
      </c>
      <c r="L878" s="1077">
        <f t="shared" si="67"/>
        <v>0</v>
      </c>
      <c r="M878" s="1090">
        <f>+H878/'Parametros Generales'!$C$8</f>
        <v>4</v>
      </c>
      <c r="N878" s="1097"/>
      <c r="O878" s="1097"/>
      <c r="P878" s="1097"/>
      <c r="Q878" s="1097"/>
      <c r="R878" s="1097">
        <f>+(M878/'Parametros Generales'!$C$9)</f>
        <v>1</v>
      </c>
      <c r="S878" s="390"/>
      <c r="T878" s="390"/>
      <c r="U878" s="390"/>
      <c r="V878" s="389"/>
      <c r="W878" s="32">
        <f>+R878*'Componentes T.H.'!$Q$9*'Parametros Generales'!$C$6</f>
        <v>5018507.0710000005</v>
      </c>
      <c r="X878" s="32">
        <f>(+VLOOKUP(C878,'Transporte y Viaticos'!$B$87:$L$120,2,0)*'Parametros Generales'!$C$7*R878)*(2/3)</f>
        <v>778438.4548405112</v>
      </c>
      <c r="Y878" s="417"/>
      <c r="Z878" s="417"/>
      <c r="AA878" s="417"/>
      <c r="AB878" s="417">
        <f>+M878*'Parametros Generales'!$C$6*'Parametros Generales'!$J$9</f>
        <v>1947636.3636363642</v>
      </c>
      <c r="AC878" s="417">
        <f>+H878*'Parametros Generales'!$J$10*'Parametros Generales'!$C$6*'Parametros Generales'!$C$11</f>
        <v>7369249.3837008122</v>
      </c>
      <c r="AD878" s="417"/>
      <c r="AE878" s="417"/>
      <c r="AF878" s="417"/>
      <c r="AG878" s="417"/>
      <c r="AH878" s="417"/>
      <c r="AI878" s="417"/>
      <c r="AJ878" s="417"/>
      <c r="AK878" s="436"/>
      <c r="AL878" s="822"/>
    </row>
    <row r="879" spans="1:38" s="33" customFormat="1" hidden="1" outlineLevel="1">
      <c r="A879" s="1150"/>
      <c r="B879" s="821">
        <v>63</v>
      </c>
      <c r="C879" s="371" t="s">
        <v>2138</v>
      </c>
      <c r="D879" s="31">
        <f>+VLOOKUP(E879,Codigos!$A$1:$B$1123,2,0)</f>
        <v>63401</v>
      </c>
      <c r="E879" s="1111" t="s">
        <v>2145</v>
      </c>
      <c r="F879" s="1103">
        <v>1</v>
      </c>
      <c r="G879" s="30">
        <v>198</v>
      </c>
      <c r="H879" s="1061">
        <f>CEILING(G879,'Parametros Generales'!$C$8)</f>
        <v>200</v>
      </c>
      <c r="I879" s="1057" t="s">
        <v>567</v>
      </c>
      <c r="J879" s="1058">
        <v>200</v>
      </c>
      <c r="K879" s="1070" t="str">
        <f t="shared" si="66"/>
        <v>Ok</v>
      </c>
      <c r="L879" s="1077">
        <f t="shared" si="67"/>
        <v>0</v>
      </c>
      <c r="M879" s="1090">
        <f>+H879/'Parametros Generales'!$C$8</f>
        <v>8</v>
      </c>
      <c r="N879" s="1097"/>
      <c r="O879" s="1097"/>
      <c r="P879" s="1097"/>
      <c r="Q879" s="1097"/>
      <c r="R879" s="1097">
        <f>+(M879/'Parametros Generales'!$C$9)</f>
        <v>2</v>
      </c>
      <c r="S879" s="390"/>
      <c r="T879" s="390"/>
      <c r="U879" s="390"/>
      <c r="V879" s="389"/>
      <c r="W879" s="32">
        <f>+R879*'Componentes T.H.'!$Q$9*'Parametros Generales'!$C$6</f>
        <v>10037014.142000001</v>
      </c>
      <c r="X879" s="32">
        <f>(+VLOOKUP(C879,'Transporte y Viaticos'!$B$87:$L$120,2,0)*'Parametros Generales'!$C$7*R879)*(2/3)</f>
        <v>1556876.9096810224</v>
      </c>
      <c r="Y879" s="417"/>
      <c r="Z879" s="417"/>
      <c r="AA879" s="417"/>
      <c r="AB879" s="417">
        <f>+M879*'Parametros Generales'!$C$6*'Parametros Generales'!$J$9</f>
        <v>3895272.7272727285</v>
      </c>
      <c r="AC879" s="417">
        <f>+H879*'Parametros Generales'!$J$10*'Parametros Generales'!$C$6*'Parametros Generales'!$C$11</f>
        <v>14738498.767401624</v>
      </c>
      <c r="AD879" s="417"/>
      <c r="AE879" s="417"/>
      <c r="AF879" s="417"/>
      <c r="AG879" s="417"/>
      <c r="AH879" s="417"/>
      <c r="AI879" s="417"/>
      <c r="AJ879" s="417"/>
      <c r="AK879" s="436"/>
      <c r="AL879" s="822"/>
    </row>
    <row r="880" spans="1:38" s="33" customFormat="1" hidden="1" outlineLevel="1">
      <c r="A880" s="1150"/>
      <c r="B880" s="821">
        <v>63</v>
      </c>
      <c r="C880" s="371" t="s">
        <v>2138</v>
      </c>
      <c r="D880" s="31">
        <f>+VLOOKUP(E880,Codigos!$A$1:$B$1123,2,0)</f>
        <v>63470</v>
      </c>
      <c r="E880" s="1111" t="s">
        <v>2146</v>
      </c>
      <c r="F880" s="1103">
        <v>1</v>
      </c>
      <c r="G880" s="30">
        <v>198</v>
      </c>
      <c r="H880" s="1061">
        <f>CEILING(G880,'Parametros Generales'!$C$8)</f>
        <v>200</v>
      </c>
      <c r="I880" s="1057" t="s">
        <v>568</v>
      </c>
      <c r="J880" s="1058">
        <v>200</v>
      </c>
      <c r="K880" s="1070" t="str">
        <f t="shared" si="66"/>
        <v>Ok</v>
      </c>
      <c r="L880" s="1077">
        <f t="shared" si="67"/>
        <v>0</v>
      </c>
      <c r="M880" s="1090">
        <f>+H880/'Parametros Generales'!$C$8</f>
        <v>8</v>
      </c>
      <c r="N880" s="1097"/>
      <c r="O880" s="1097"/>
      <c r="P880" s="1097"/>
      <c r="Q880" s="1097"/>
      <c r="R880" s="1097">
        <f>+(M880/'Parametros Generales'!$C$9)</f>
        <v>2</v>
      </c>
      <c r="S880" s="390"/>
      <c r="T880" s="390"/>
      <c r="U880" s="390"/>
      <c r="V880" s="389"/>
      <c r="W880" s="32">
        <f>+R880*'Componentes T.H.'!$Q$9*'Parametros Generales'!$C$6</f>
        <v>10037014.142000001</v>
      </c>
      <c r="X880" s="32">
        <f>(+VLOOKUP(C880,'Transporte y Viaticos'!$B$87:$L$120,2,0)*'Parametros Generales'!$C$7*R880)*(2/3)</f>
        <v>1556876.9096810224</v>
      </c>
      <c r="Y880" s="417"/>
      <c r="Z880" s="417"/>
      <c r="AA880" s="417"/>
      <c r="AB880" s="417">
        <f>+M880*'Parametros Generales'!$C$6*'Parametros Generales'!$J$9</f>
        <v>3895272.7272727285</v>
      </c>
      <c r="AC880" s="417">
        <f>+H880*'Parametros Generales'!$J$10*'Parametros Generales'!$C$6*'Parametros Generales'!$C$11</f>
        <v>14738498.767401624</v>
      </c>
      <c r="AD880" s="417"/>
      <c r="AE880" s="417"/>
      <c r="AF880" s="417"/>
      <c r="AG880" s="417"/>
      <c r="AH880" s="417"/>
      <c r="AI880" s="417"/>
      <c r="AJ880" s="417"/>
      <c r="AK880" s="436"/>
      <c r="AL880" s="822"/>
    </row>
    <row r="881" spans="1:38" s="33" customFormat="1" hidden="1" outlineLevel="1">
      <c r="A881" s="1150"/>
      <c r="B881" s="821">
        <v>63</v>
      </c>
      <c r="C881" s="371" t="s">
        <v>2138</v>
      </c>
      <c r="D881" s="31">
        <f>+VLOOKUP(E881,Codigos!$A$1:$B$1123,2,0)</f>
        <v>63548</v>
      </c>
      <c r="E881" s="1111" t="s">
        <v>2147</v>
      </c>
      <c r="F881" s="1103">
        <v>1</v>
      </c>
      <c r="G881" s="30">
        <v>198</v>
      </c>
      <c r="H881" s="1061">
        <f>CEILING((G881-100),'Parametros Generales'!$C$8)</f>
        <v>100</v>
      </c>
      <c r="I881" s="1057" t="s">
        <v>569</v>
      </c>
      <c r="J881" s="1058">
        <v>100</v>
      </c>
      <c r="K881" s="1070" t="str">
        <f t="shared" si="66"/>
        <v>Ok</v>
      </c>
      <c r="L881" s="1077">
        <f t="shared" si="67"/>
        <v>0</v>
      </c>
      <c r="M881" s="1090">
        <f>+H881/'Parametros Generales'!$C$8</f>
        <v>4</v>
      </c>
      <c r="N881" s="1097"/>
      <c r="O881" s="1097"/>
      <c r="P881" s="1097"/>
      <c r="Q881" s="1097"/>
      <c r="R881" s="1097">
        <f>+(M881/'Parametros Generales'!$C$9)</f>
        <v>1</v>
      </c>
      <c r="S881" s="390"/>
      <c r="T881" s="390"/>
      <c r="U881" s="390"/>
      <c r="V881" s="389"/>
      <c r="W881" s="32">
        <f>+R881*'Componentes T.H.'!$Q$9*'Parametros Generales'!$C$6</f>
        <v>5018507.0710000005</v>
      </c>
      <c r="X881" s="32">
        <f>(+VLOOKUP(C881,'Transporte y Viaticos'!$B$87:$L$120,2,0)*'Parametros Generales'!$C$7*R881)*(2/3)</f>
        <v>778438.4548405112</v>
      </c>
      <c r="Y881" s="417"/>
      <c r="Z881" s="417"/>
      <c r="AA881" s="417"/>
      <c r="AB881" s="417">
        <f>+M881*'Parametros Generales'!$C$6*'Parametros Generales'!$J$9</f>
        <v>1947636.3636363642</v>
      </c>
      <c r="AC881" s="417">
        <f>+H881*'Parametros Generales'!$J$10*'Parametros Generales'!$C$6*'Parametros Generales'!$C$11</f>
        <v>7369249.3837008122</v>
      </c>
      <c r="AD881" s="417"/>
      <c r="AE881" s="417"/>
      <c r="AF881" s="417"/>
      <c r="AG881" s="417"/>
      <c r="AH881" s="417"/>
      <c r="AI881" s="417"/>
      <c r="AJ881" s="417"/>
      <c r="AK881" s="436"/>
      <c r="AL881" s="822"/>
    </row>
    <row r="882" spans="1:38" s="33" customFormat="1" hidden="1" outlineLevel="1">
      <c r="A882" s="1150"/>
      <c r="B882" s="821">
        <v>63</v>
      </c>
      <c r="C882" s="371" t="s">
        <v>2138</v>
      </c>
      <c r="D882" s="31">
        <f>+VLOOKUP(E882,Codigos!$A$1:$B$1123,2,0)</f>
        <v>63594</v>
      </c>
      <c r="E882" s="1111" t="s">
        <v>2148</v>
      </c>
      <c r="F882" s="1103">
        <v>1</v>
      </c>
      <c r="G882" s="30">
        <v>198</v>
      </c>
      <c r="H882" s="1061">
        <f>CEILING(G882,'Parametros Generales'!$C$8)</f>
        <v>200</v>
      </c>
      <c r="I882" s="1057" t="s">
        <v>570</v>
      </c>
      <c r="J882" s="1058">
        <v>200</v>
      </c>
      <c r="K882" s="1070" t="str">
        <f t="shared" si="66"/>
        <v>Ok</v>
      </c>
      <c r="L882" s="1077">
        <f t="shared" si="67"/>
        <v>0</v>
      </c>
      <c r="M882" s="1090">
        <f>+H882/'Parametros Generales'!$C$8</f>
        <v>8</v>
      </c>
      <c r="N882" s="1097"/>
      <c r="O882" s="1097"/>
      <c r="P882" s="1097"/>
      <c r="Q882" s="1097"/>
      <c r="R882" s="1097">
        <f>+(M882/'Parametros Generales'!$C$9)</f>
        <v>2</v>
      </c>
      <c r="S882" s="390"/>
      <c r="T882" s="390"/>
      <c r="U882" s="390"/>
      <c r="V882" s="389"/>
      <c r="W882" s="32">
        <f>+R882*'Componentes T.H.'!$Q$9*'Parametros Generales'!$C$6</f>
        <v>10037014.142000001</v>
      </c>
      <c r="X882" s="32">
        <f>(+VLOOKUP(C882,'Transporte y Viaticos'!$B$87:$L$120,2,0)*'Parametros Generales'!$C$7*R882)*(2/3)</f>
        <v>1556876.9096810224</v>
      </c>
      <c r="Y882" s="417"/>
      <c r="Z882" s="417"/>
      <c r="AA882" s="417"/>
      <c r="AB882" s="417">
        <f>+M882*'Parametros Generales'!$C$6*'Parametros Generales'!$J$9</f>
        <v>3895272.7272727285</v>
      </c>
      <c r="AC882" s="417">
        <f>+H882*'Parametros Generales'!$J$10*'Parametros Generales'!$C$6*'Parametros Generales'!$C$11</f>
        <v>14738498.767401624</v>
      </c>
      <c r="AD882" s="417"/>
      <c r="AE882" s="417"/>
      <c r="AF882" s="417"/>
      <c r="AG882" s="417"/>
      <c r="AH882" s="417"/>
      <c r="AI882" s="417"/>
      <c r="AJ882" s="417"/>
      <c r="AK882" s="436"/>
      <c r="AL882" s="822"/>
    </row>
    <row r="883" spans="1:38" s="33" customFormat="1" hidden="1" outlineLevel="1">
      <c r="A883" s="1150"/>
      <c r="B883" s="823">
        <v>63</v>
      </c>
      <c r="C883" s="373" t="s">
        <v>2138</v>
      </c>
      <c r="D883" s="374">
        <f>+VLOOKUP(E883,Codigos!$A$1:$B$1123,2,0)</f>
        <v>63690</v>
      </c>
      <c r="E883" s="1113" t="s">
        <v>2149</v>
      </c>
      <c r="F883" s="1104">
        <v>1</v>
      </c>
      <c r="G883" s="375">
        <v>198</v>
      </c>
      <c r="H883" s="1062">
        <f>CEILING((G883-100),'Parametros Generales'!$C$8)</f>
        <v>100</v>
      </c>
      <c r="I883" s="1057" t="s">
        <v>571</v>
      </c>
      <c r="J883" s="1058">
        <v>100</v>
      </c>
      <c r="K883" s="1070" t="str">
        <f t="shared" si="66"/>
        <v>Ok</v>
      </c>
      <c r="L883" s="1077">
        <f t="shared" si="67"/>
        <v>0</v>
      </c>
      <c r="M883" s="1091">
        <f>+H883/'Parametros Generales'!$C$8</f>
        <v>4</v>
      </c>
      <c r="N883" s="1098"/>
      <c r="O883" s="1098"/>
      <c r="P883" s="1098"/>
      <c r="Q883" s="1098"/>
      <c r="R883" s="1098">
        <f>+(M883/'Parametros Generales'!$C$9)</f>
        <v>1</v>
      </c>
      <c r="S883" s="395"/>
      <c r="T883" s="395"/>
      <c r="U883" s="395"/>
      <c r="V883" s="396"/>
      <c r="W883" s="376">
        <f>+R883*'Componentes T.H.'!$Q$9*'Parametros Generales'!$C$6</f>
        <v>5018507.0710000005</v>
      </c>
      <c r="X883" s="376">
        <f>(+VLOOKUP(C883,'Transporte y Viaticos'!$B$87:$L$120,2,0)*'Parametros Generales'!$C$7*R883)*(2/3)</f>
        <v>778438.4548405112</v>
      </c>
      <c r="Y883" s="417"/>
      <c r="Z883" s="417"/>
      <c r="AA883" s="417"/>
      <c r="AB883" s="417">
        <f>+M883*'Parametros Generales'!$C$6*'Parametros Generales'!$J$9</f>
        <v>1947636.3636363642</v>
      </c>
      <c r="AC883" s="417">
        <f>+H883*'Parametros Generales'!$J$10*'Parametros Generales'!$C$6*'Parametros Generales'!$C$11</f>
        <v>7369249.3837008122</v>
      </c>
      <c r="AD883" s="417"/>
      <c r="AE883" s="417"/>
      <c r="AF883" s="417"/>
      <c r="AG883" s="417"/>
      <c r="AH883" s="417"/>
      <c r="AI883" s="417"/>
      <c r="AJ883" s="417"/>
      <c r="AK883" s="436"/>
      <c r="AL883" s="822"/>
    </row>
    <row r="884" spans="1:38" s="33" customFormat="1" hidden="1" outlineLevel="1">
      <c r="A884" s="1150"/>
      <c r="B884" s="823">
        <f t="shared" ref="B884:B896" si="70">+B883</f>
        <v>63</v>
      </c>
      <c r="C884" s="373" t="str">
        <f t="shared" ref="C884:C896" si="71">+C883</f>
        <v>QUINDÍO</v>
      </c>
      <c r="D884" s="374"/>
      <c r="E884" s="1113"/>
      <c r="F884" s="1104"/>
      <c r="G884" s="375"/>
      <c r="H884" s="1062"/>
      <c r="I884" s="1057"/>
      <c r="J884" s="1058"/>
      <c r="K884" s="1070" t="str">
        <f t="shared" si="66"/>
        <v>Ok</v>
      </c>
      <c r="L884" s="1077">
        <f t="shared" si="67"/>
        <v>0</v>
      </c>
      <c r="M884" s="1091">
        <f>+H884/'Parametros Generales'!$C$8</f>
        <v>0</v>
      </c>
      <c r="N884" s="1098"/>
      <c r="O884" s="1098"/>
      <c r="P884" s="1098"/>
      <c r="Q884" s="1098"/>
      <c r="R884" s="1098">
        <f>+(M884/'Parametros Generales'!$C$9)</f>
        <v>0</v>
      </c>
      <c r="S884" s="395"/>
      <c r="T884" s="395"/>
      <c r="U884" s="395"/>
      <c r="V884" s="396"/>
      <c r="W884" s="376">
        <f>+R884*'Componentes T.H.'!$Q$9*'Parametros Generales'!$C$6</f>
        <v>0</v>
      </c>
      <c r="X884" s="376">
        <f>(+VLOOKUP(C884,'Transporte y Viaticos'!$B$87:$L$120,2,0)*'Parametros Generales'!$C$7*R884)*(2/3)</f>
        <v>0</v>
      </c>
      <c r="Y884" s="417"/>
      <c r="Z884" s="417"/>
      <c r="AA884" s="417"/>
      <c r="AB884" s="417">
        <f>+M884*'Parametros Generales'!$C$6*'Parametros Generales'!$J$9</f>
        <v>0</v>
      </c>
      <c r="AC884" s="417">
        <f>+H884*'Parametros Generales'!$J$10*'Parametros Generales'!$C$6*'Parametros Generales'!$C$11</f>
        <v>0</v>
      </c>
      <c r="AD884" s="417"/>
      <c r="AE884" s="417"/>
      <c r="AF884" s="417"/>
      <c r="AG884" s="417"/>
      <c r="AH884" s="417"/>
      <c r="AI884" s="417"/>
      <c r="AJ884" s="417"/>
      <c r="AK884" s="436"/>
      <c r="AL884" s="822"/>
    </row>
    <row r="885" spans="1:38" s="33" customFormat="1" hidden="1" outlineLevel="1">
      <c r="A885" s="1150"/>
      <c r="B885" s="823">
        <f t="shared" si="70"/>
        <v>63</v>
      </c>
      <c r="C885" s="373" t="str">
        <f t="shared" si="71"/>
        <v>QUINDÍO</v>
      </c>
      <c r="D885" s="374"/>
      <c r="E885" s="1113"/>
      <c r="F885" s="1104"/>
      <c r="G885" s="375"/>
      <c r="H885" s="1062"/>
      <c r="I885" s="1057"/>
      <c r="J885" s="1058"/>
      <c r="K885" s="1070" t="str">
        <f t="shared" si="66"/>
        <v>Ok</v>
      </c>
      <c r="L885" s="1077">
        <f t="shared" si="67"/>
        <v>0</v>
      </c>
      <c r="M885" s="1091">
        <f>+H885/'Parametros Generales'!$C$8</f>
        <v>0</v>
      </c>
      <c r="N885" s="1098"/>
      <c r="O885" s="1098"/>
      <c r="P885" s="1098"/>
      <c r="Q885" s="1098"/>
      <c r="R885" s="1098">
        <f>+(M885/'Parametros Generales'!$C$9)</f>
        <v>0</v>
      </c>
      <c r="S885" s="395"/>
      <c r="T885" s="395"/>
      <c r="U885" s="395"/>
      <c r="V885" s="396"/>
      <c r="W885" s="376">
        <f>+R885*'Componentes T.H.'!$Q$9*'Parametros Generales'!$C$6</f>
        <v>0</v>
      </c>
      <c r="X885" s="376">
        <f>(+VLOOKUP(C885,'Transporte y Viaticos'!$B$87:$L$120,2,0)*'Parametros Generales'!$C$7*R885)*(2/3)</f>
        <v>0</v>
      </c>
      <c r="Y885" s="417"/>
      <c r="Z885" s="417"/>
      <c r="AA885" s="417"/>
      <c r="AB885" s="417">
        <f>+M885*'Parametros Generales'!$C$6*'Parametros Generales'!$J$9</f>
        <v>0</v>
      </c>
      <c r="AC885" s="417">
        <f>+H885*'Parametros Generales'!$J$10*'Parametros Generales'!$C$6*'Parametros Generales'!$C$11</f>
        <v>0</v>
      </c>
      <c r="AD885" s="417"/>
      <c r="AE885" s="417"/>
      <c r="AF885" s="417"/>
      <c r="AG885" s="417"/>
      <c r="AH885" s="417"/>
      <c r="AI885" s="417"/>
      <c r="AJ885" s="417"/>
      <c r="AK885" s="436"/>
      <c r="AL885" s="822"/>
    </row>
    <row r="886" spans="1:38" s="33" customFormat="1" hidden="1" outlineLevel="1">
      <c r="A886" s="1150"/>
      <c r="B886" s="823">
        <f t="shared" si="70"/>
        <v>63</v>
      </c>
      <c r="C886" s="373" t="str">
        <f t="shared" si="71"/>
        <v>QUINDÍO</v>
      </c>
      <c r="D886" s="374"/>
      <c r="E886" s="1113"/>
      <c r="F886" s="1104"/>
      <c r="G886" s="375"/>
      <c r="H886" s="1062"/>
      <c r="I886" s="1057"/>
      <c r="J886" s="1058"/>
      <c r="K886" s="1070" t="str">
        <f t="shared" si="66"/>
        <v>Ok</v>
      </c>
      <c r="L886" s="1077">
        <f t="shared" si="67"/>
        <v>0</v>
      </c>
      <c r="M886" s="1091">
        <f>+H886/'Parametros Generales'!$C$8</f>
        <v>0</v>
      </c>
      <c r="N886" s="1098"/>
      <c r="O886" s="1098"/>
      <c r="P886" s="1098"/>
      <c r="Q886" s="1098"/>
      <c r="R886" s="1098">
        <f>+(M886/'Parametros Generales'!$C$9)</f>
        <v>0</v>
      </c>
      <c r="S886" s="395"/>
      <c r="T886" s="395"/>
      <c r="U886" s="395"/>
      <c r="V886" s="396"/>
      <c r="W886" s="376">
        <f>+R886*'Componentes T.H.'!$Q$9*'Parametros Generales'!$C$6</f>
        <v>0</v>
      </c>
      <c r="X886" s="376">
        <f>(+VLOOKUP(C886,'Transporte y Viaticos'!$B$87:$L$120,2,0)*'Parametros Generales'!$C$7*R886)*(2/3)</f>
        <v>0</v>
      </c>
      <c r="Y886" s="417"/>
      <c r="Z886" s="417"/>
      <c r="AA886" s="417"/>
      <c r="AB886" s="417">
        <f>+M886*'Parametros Generales'!$C$6*'Parametros Generales'!$J$9</f>
        <v>0</v>
      </c>
      <c r="AC886" s="417">
        <f>+H886*'Parametros Generales'!$J$10*'Parametros Generales'!$C$6*'Parametros Generales'!$C$11</f>
        <v>0</v>
      </c>
      <c r="AD886" s="417"/>
      <c r="AE886" s="417"/>
      <c r="AF886" s="417"/>
      <c r="AG886" s="417"/>
      <c r="AH886" s="417"/>
      <c r="AI886" s="417"/>
      <c r="AJ886" s="417"/>
      <c r="AK886" s="436"/>
      <c r="AL886" s="822"/>
    </row>
    <row r="887" spans="1:38" s="33" customFormat="1" hidden="1" outlineLevel="1">
      <c r="A887" s="1150"/>
      <c r="B887" s="823">
        <f t="shared" si="70"/>
        <v>63</v>
      </c>
      <c r="C887" s="373" t="str">
        <f t="shared" si="71"/>
        <v>QUINDÍO</v>
      </c>
      <c r="D887" s="374"/>
      <c r="E887" s="1113"/>
      <c r="F887" s="1104"/>
      <c r="G887" s="375"/>
      <c r="H887" s="1062"/>
      <c r="I887" s="1057"/>
      <c r="J887" s="1058"/>
      <c r="K887" s="1070" t="str">
        <f t="shared" si="66"/>
        <v>Ok</v>
      </c>
      <c r="L887" s="1077">
        <f t="shared" si="67"/>
        <v>0</v>
      </c>
      <c r="M887" s="1091">
        <f>+H887/'Parametros Generales'!$C$8</f>
        <v>0</v>
      </c>
      <c r="N887" s="1098"/>
      <c r="O887" s="1098"/>
      <c r="P887" s="1098"/>
      <c r="Q887" s="1098"/>
      <c r="R887" s="1098">
        <f>+(M887/'Parametros Generales'!$C$9)</f>
        <v>0</v>
      </c>
      <c r="S887" s="395"/>
      <c r="T887" s="395"/>
      <c r="U887" s="395"/>
      <c r="V887" s="396"/>
      <c r="W887" s="376">
        <f>+R887*'Componentes T.H.'!$Q$9*'Parametros Generales'!$C$6</f>
        <v>0</v>
      </c>
      <c r="X887" s="376">
        <f>(+VLOOKUP(C887,'Transporte y Viaticos'!$B$87:$L$120,2,0)*'Parametros Generales'!$C$7*R887)*(2/3)</f>
        <v>0</v>
      </c>
      <c r="Y887" s="417"/>
      <c r="Z887" s="417"/>
      <c r="AA887" s="417"/>
      <c r="AB887" s="417">
        <f>+M887*'Parametros Generales'!$C$6*'Parametros Generales'!$J$9</f>
        <v>0</v>
      </c>
      <c r="AC887" s="417">
        <f>+H887*'Parametros Generales'!$J$10*'Parametros Generales'!$C$6*'Parametros Generales'!$C$11</f>
        <v>0</v>
      </c>
      <c r="AD887" s="417"/>
      <c r="AE887" s="417"/>
      <c r="AF887" s="417"/>
      <c r="AG887" s="417"/>
      <c r="AH887" s="417"/>
      <c r="AI887" s="417"/>
      <c r="AJ887" s="417"/>
      <c r="AK887" s="436"/>
      <c r="AL887" s="822"/>
    </row>
    <row r="888" spans="1:38" s="33" customFormat="1" hidden="1" outlineLevel="1">
      <c r="A888" s="1150"/>
      <c r="B888" s="823">
        <f t="shared" si="70"/>
        <v>63</v>
      </c>
      <c r="C888" s="373" t="str">
        <f t="shared" si="71"/>
        <v>QUINDÍO</v>
      </c>
      <c r="D888" s="374"/>
      <c r="E888" s="1113"/>
      <c r="F888" s="1104"/>
      <c r="G888" s="375"/>
      <c r="H888" s="1062"/>
      <c r="I888" s="1057"/>
      <c r="J888" s="1058"/>
      <c r="K888" s="1070" t="str">
        <f t="shared" si="66"/>
        <v>Ok</v>
      </c>
      <c r="L888" s="1077">
        <f t="shared" si="67"/>
        <v>0</v>
      </c>
      <c r="M888" s="1091">
        <f>+H888/'Parametros Generales'!$C$8</f>
        <v>0</v>
      </c>
      <c r="N888" s="1098"/>
      <c r="O888" s="1098"/>
      <c r="P888" s="1098"/>
      <c r="Q888" s="1098"/>
      <c r="R888" s="1098">
        <f>+(M888/'Parametros Generales'!$C$9)</f>
        <v>0</v>
      </c>
      <c r="S888" s="395"/>
      <c r="T888" s="395"/>
      <c r="U888" s="395"/>
      <c r="V888" s="396"/>
      <c r="W888" s="376">
        <f>+R888*'Componentes T.H.'!$Q$9*'Parametros Generales'!$C$6</f>
        <v>0</v>
      </c>
      <c r="X888" s="376">
        <f>(+VLOOKUP(C888,'Transporte y Viaticos'!$B$87:$L$120,2,0)*'Parametros Generales'!$C$7*R888)*(2/3)</f>
        <v>0</v>
      </c>
      <c r="Y888" s="417"/>
      <c r="Z888" s="417"/>
      <c r="AA888" s="417"/>
      <c r="AB888" s="417">
        <f>+M888*'Parametros Generales'!$C$6*'Parametros Generales'!$J$9</f>
        <v>0</v>
      </c>
      <c r="AC888" s="417">
        <f>+H888*'Parametros Generales'!$J$10*'Parametros Generales'!$C$6*'Parametros Generales'!$C$11</f>
        <v>0</v>
      </c>
      <c r="AD888" s="417"/>
      <c r="AE888" s="417"/>
      <c r="AF888" s="417"/>
      <c r="AG888" s="417"/>
      <c r="AH888" s="417"/>
      <c r="AI888" s="417"/>
      <c r="AJ888" s="417"/>
      <c r="AK888" s="436"/>
      <c r="AL888" s="822"/>
    </row>
    <row r="889" spans="1:38" s="33" customFormat="1" hidden="1" outlineLevel="1">
      <c r="A889" s="1150"/>
      <c r="B889" s="823">
        <f t="shared" si="70"/>
        <v>63</v>
      </c>
      <c r="C889" s="373" t="str">
        <f t="shared" si="71"/>
        <v>QUINDÍO</v>
      </c>
      <c r="D889" s="374"/>
      <c r="E889" s="1113"/>
      <c r="F889" s="1104"/>
      <c r="G889" s="375"/>
      <c r="H889" s="1062"/>
      <c r="I889" s="1057"/>
      <c r="J889" s="1058"/>
      <c r="K889" s="1070" t="str">
        <f t="shared" si="66"/>
        <v>Ok</v>
      </c>
      <c r="L889" s="1077">
        <f t="shared" si="67"/>
        <v>0</v>
      </c>
      <c r="M889" s="1091">
        <f>+H889/'Parametros Generales'!$C$8</f>
        <v>0</v>
      </c>
      <c r="N889" s="1098"/>
      <c r="O889" s="1098"/>
      <c r="P889" s="1098"/>
      <c r="Q889" s="1098"/>
      <c r="R889" s="1098">
        <f>+(M889/'Parametros Generales'!$C$9)</f>
        <v>0</v>
      </c>
      <c r="S889" s="395"/>
      <c r="T889" s="395"/>
      <c r="U889" s="395"/>
      <c r="V889" s="396"/>
      <c r="W889" s="376">
        <f>+R889*'Componentes T.H.'!$Q$9*'Parametros Generales'!$C$6</f>
        <v>0</v>
      </c>
      <c r="X889" s="376">
        <f>(+VLOOKUP(C889,'Transporte y Viaticos'!$B$87:$L$120,2,0)*'Parametros Generales'!$C$7*R889)*(2/3)</f>
        <v>0</v>
      </c>
      <c r="Y889" s="417"/>
      <c r="Z889" s="417"/>
      <c r="AA889" s="417"/>
      <c r="AB889" s="417">
        <f>+M889*'Parametros Generales'!$C$6*'Parametros Generales'!$J$9</f>
        <v>0</v>
      </c>
      <c r="AC889" s="417">
        <f>+H889*'Parametros Generales'!$J$10*'Parametros Generales'!$C$6*'Parametros Generales'!$C$11</f>
        <v>0</v>
      </c>
      <c r="AD889" s="417"/>
      <c r="AE889" s="417"/>
      <c r="AF889" s="417"/>
      <c r="AG889" s="417"/>
      <c r="AH889" s="417"/>
      <c r="AI889" s="417"/>
      <c r="AJ889" s="417"/>
      <c r="AK889" s="436"/>
      <c r="AL889" s="822"/>
    </row>
    <row r="890" spans="1:38" s="33" customFormat="1" hidden="1" outlineLevel="1">
      <c r="A890" s="1150"/>
      <c r="B890" s="823">
        <f t="shared" si="70"/>
        <v>63</v>
      </c>
      <c r="C890" s="373" t="str">
        <f t="shared" si="71"/>
        <v>QUINDÍO</v>
      </c>
      <c r="D890" s="374"/>
      <c r="E890" s="1113"/>
      <c r="F890" s="1104"/>
      <c r="G890" s="375"/>
      <c r="H890" s="1062"/>
      <c r="I890" s="1057"/>
      <c r="J890" s="1058"/>
      <c r="K890" s="1070" t="str">
        <f t="shared" si="66"/>
        <v>Ok</v>
      </c>
      <c r="L890" s="1077">
        <f t="shared" si="67"/>
        <v>0</v>
      </c>
      <c r="M890" s="1091">
        <f>+H890/'Parametros Generales'!$C$8</f>
        <v>0</v>
      </c>
      <c r="N890" s="1098"/>
      <c r="O890" s="1098"/>
      <c r="P890" s="1098"/>
      <c r="Q890" s="1098"/>
      <c r="R890" s="1098">
        <f>+(M890/'Parametros Generales'!$C$9)</f>
        <v>0</v>
      </c>
      <c r="S890" s="395"/>
      <c r="T890" s="395"/>
      <c r="U890" s="395"/>
      <c r="V890" s="396"/>
      <c r="W890" s="376">
        <f>+R890*'Componentes T.H.'!$Q$9*'Parametros Generales'!$C$6</f>
        <v>0</v>
      </c>
      <c r="X890" s="376">
        <f>(+VLOOKUP(C890,'Transporte y Viaticos'!$B$87:$L$120,2,0)*'Parametros Generales'!$C$7*R890)*(2/3)</f>
        <v>0</v>
      </c>
      <c r="Y890" s="417"/>
      <c r="Z890" s="417"/>
      <c r="AA890" s="417"/>
      <c r="AB890" s="417">
        <f>+M890*'Parametros Generales'!$C$6*'Parametros Generales'!$J$9</f>
        <v>0</v>
      </c>
      <c r="AC890" s="417">
        <f>+H890*'Parametros Generales'!$J$10*'Parametros Generales'!$C$6*'Parametros Generales'!$C$11</f>
        <v>0</v>
      </c>
      <c r="AD890" s="417"/>
      <c r="AE890" s="417"/>
      <c r="AF890" s="417"/>
      <c r="AG890" s="417"/>
      <c r="AH890" s="417"/>
      <c r="AI890" s="417"/>
      <c r="AJ890" s="417"/>
      <c r="AK890" s="436"/>
      <c r="AL890" s="822"/>
    </row>
    <row r="891" spans="1:38" s="33" customFormat="1" hidden="1" outlineLevel="1">
      <c r="A891" s="1150"/>
      <c r="B891" s="823">
        <f t="shared" si="70"/>
        <v>63</v>
      </c>
      <c r="C891" s="373" t="str">
        <f t="shared" si="71"/>
        <v>QUINDÍO</v>
      </c>
      <c r="D891" s="374"/>
      <c r="E891" s="1113"/>
      <c r="F891" s="1104"/>
      <c r="G891" s="375"/>
      <c r="H891" s="1062"/>
      <c r="I891" s="1057"/>
      <c r="J891" s="1058"/>
      <c r="K891" s="1070" t="str">
        <f t="shared" si="66"/>
        <v>Ok</v>
      </c>
      <c r="L891" s="1077">
        <f t="shared" si="67"/>
        <v>0</v>
      </c>
      <c r="M891" s="1091">
        <f>+H891/'Parametros Generales'!$C$8</f>
        <v>0</v>
      </c>
      <c r="N891" s="1098"/>
      <c r="O891" s="1098"/>
      <c r="P891" s="1098"/>
      <c r="Q891" s="1098"/>
      <c r="R891" s="1098">
        <f>+(M891/'Parametros Generales'!$C$9)</f>
        <v>0</v>
      </c>
      <c r="S891" s="395"/>
      <c r="T891" s="395"/>
      <c r="U891" s="395"/>
      <c r="V891" s="396"/>
      <c r="W891" s="376">
        <f>+R891*'Componentes T.H.'!$Q$9*'Parametros Generales'!$C$6</f>
        <v>0</v>
      </c>
      <c r="X891" s="376">
        <f>(+VLOOKUP(C891,'Transporte y Viaticos'!$B$87:$L$120,2,0)*'Parametros Generales'!$C$7*R891)*(2/3)</f>
        <v>0</v>
      </c>
      <c r="Y891" s="417"/>
      <c r="Z891" s="417"/>
      <c r="AA891" s="417"/>
      <c r="AB891" s="417">
        <f>+M891*'Parametros Generales'!$C$6*'Parametros Generales'!$J$9</f>
        <v>0</v>
      </c>
      <c r="AC891" s="417">
        <f>+H891*'Parametros Generales'!$J$10*'Parametros Generales'!$C$6*'Parametros Generales'!$C$11</f>
        <v>0</v>
      </c>
      <c r="AD891" s="417"/>
      <c r="AE891" s="417"/>
      <c r="AF891" s="417"/>
      <c r="AG891" s="417"/>
      <c r="AH891" s="417"/>
      <c r="AI891" s="417"/>
      <c r="AJ891" s="417"/>
      <c r="AK891" s="436"/>
      <c r="AL891" s="822"/>
    </row>
    <row r="892" spans="1:38" s="33" customFormat="1" hidden="1" outlineLevel="1">
      <c r="A892" s="1150"/>
      <c r="B892" s="823">
        <f t="shared" si="70"/>
        <v>63</v>
      </c>
      <c r="C892" s="373" t="str">
        <f t="shared" si="71"/>
        <v>QUINDÍO</v>
      </c>
      <c r="D892" s="374"/>
      <c r="E892" s="1113"/>
      <c r="F892" s="1104"/>
      <c r="G892" s="375"/>
      <c r="H892" s="1062"/>
      <c r="I892" s="1057"/>
      <c r="J892" s="1058"/>
      <c r="K892" s="1070" t="str">
        <f t="shared" si="66"/>
        <v>Ok</v>
      </c>
      <c r="L892" s="1077">
        <f t="shared" si="67"/>
        <v>0</v>
      </c>
      <c r="M892" s="1091">
        <f>+H892/'Parametros Generales'!$C$8</f>
        <v>0</v>
      </c>
      <c r="N892" s="1098"/>
      <c r="O892" s="1098"/>
      <c r="P892" s="1098"/>
      <c r="Q892" s="1098"/>
      <c r="R892" s="1098">
        <f>+(M892/'Parametros Generales'!$C$9)</f>
        <v>0</v>
      </c>
      <c r="S892" s="395"/>
      <c r="T892" s="395"/>
      <c r="U892" s="395"/>
      <c r="V892" s="396"/>
      <c r="W892" s="376">
        <f>+R892*'Componentes T.H.'!$Q$9*'Parametros Generales'!$C$6</f>
        <v>0</v>
      </c>
      <c r="X892" s="376">
        <f>(+VLOOKUP(C892,'Transporte y Viaticos'!$B$87:$L$120,2,0)*'Parametros Generales'!$C$7*R892)*(2/3)</f>
        <v>0</v>
      </c>
      <c r="Y892" s="417"/>
      <c r="Z892" s="417"/>
      <c r="AA892" s="417"/>
      <c r="AB892" s="417">
        <f>+M892*'Parametros Generales'!$C$6*'Parametros Generales'!$J$9</f>
        <v>0</v>
      </c>
      <c r="AC892" s="417">
        <f>+H892*'Parametros Generales'!$J$10*'Parametros Generales'!$C$6*'Parametros Generales'!$C$11</f>
        <v>0</v>
      </c>
      <c r="AD892" s="417"/>
      <c r="AE892" s="417"/>
      <c r="AF892" s="417"/>
      <c r="AG892" s="417"/>
      <c r="AH892" s="417"/>
      <c r="AI892" s="417"/>
      <c r="AJ892" s="417"/>
      <c r="AK892" s="436"/>
      <c r="AL892" s="822"/>
    </row>
    <row r="893" spans="1:38" s="33" customFormat="1" hidden="1" outlineLevel="1">
      <c r="A893" s="1150"/>
      <c r="B893" s="823">
        <f t="shared" si="70"/>
        <v>63</v>
      </c>
      <c r="C893" s="373" t="str">
        <f t="shared" si="71"/>
        <v>QUINDÍO</v>
      </c>
      <c r="D893" s="374"/>
      <c r="E893" s="1113"/>
      <c r="F893" s="1104"/>
      <c r="G893" s="375"/>
      <c r="H893" s="1062"/>
      <c r="I893" s="1057"/>
      <c r="J893" s="1058"/>
      <c r="K893" s="1070" t="str">
        <f t="shared" si="66"/>
        <v>Ok</v>
      </c>
      <c r="L893" s="1077">
        <f t="shared" si="67"/>
        <v>0</v>
      </c>
      <c r="M893" s="1091">
        <f>+H893/'Parametros Generales'!$C$8</f>
        <v>0</v>
      </c>
      <c r="N893" s="1098"/>
      <c r="O893" s="1098"/>
      <c r="P893" s="1098"/>
      <c r="Q893" s="1098"/>
      <c r="R893" s="1098">
        <f>+(M893/'Parametros Generales'!$C$9)</f>
        <v>0</v>
      </c>
      <c r="S893" s="395"/>
      <c r="T893" s="395"/>
      <c r="U893" s="395"/>
      <c r="V893" s="396"/>
      <c r="W893" s="376">
        <f>+R893*'Componentes T.H.'!$Q$9*'Parametros Generales'!$C$6</f>
        <v>0</v>
      </c>
      <c r="X893" s="376">
        <f>(+VLOOKUP(C893,'Transporte y Viaticos'!$B$87:$L$120,2,0)*'Parametros Generales'!$C$7*R893)*(2/3)</f>
        <v>0</v>
      </c>
      <c r="Y893" s="417"/>
      <c r="Z893" s="417"/>
      <c r="AA893" s="417"/>
      <c r="AB893" s="417">
        <f>+M893*'Parametros Generales'!$C$6*'Parametros Generales'!$J$9</f>
        <v>0</v>
      </c>
      <c r="AC893" s="417">
        <f>+H893*'Parametros Generales'!$J$10*'Parametros Generales'!$C$6*'Parametros Generales'!$C$11</f>
        <v>0</v>
      </c>
      <c r="AD893" s="417"/>
      <c r="AE893" s="417"/>
      <c r="AF893" s="417"/>
      <c r="AG893" s="417"/>
      <c r="AH893" s="417"/>
      <c r="AI893" s="417"/>
      <c r="AJ893" s="417"/>
      <c r="AK893" s="436"/>
      <c r="AL893" s="822"/>
    </row>
    <row r="894" spans="1:38" s="33" customFormat="1" hidden="1" outlineLevel="1">
      <c r="A894" s="1150"/>
      <c r="B894" s="823">
        <f t="shared" si="70"/>
        <v>63</v>
      </c>
      <c r="C894" s="373" t="str">
        <f t="shared" si="71"/>
        <v>QUINDÍO</v>
      </c>
      <c r="D894" s="374"/>
      <c r="E894" s="1113"/>
      <c r="F894" s="1104"/>
      <c r="G894" s="375"/>
      <c r="H894" s="1062"/>
      <c r="I894" s="1057"/>
      <c r="J894" s="1058"/>
      <c r="K894" s="1070" t="str">
        <f t="shared" si="66"/>
        <v>Ok</v>
      </c>
      <c r="L894" s="1077">
        <f t="shared" si="67"/>
        <v>0</v>
      </c>
      <c r="M894" s="1091">
        <f>+H894/'Parametros Generales'!$C$8</f>
        <v>0</v>
      </c>
      <c r="N894" s="1098"/>
      <c r="O894" s="1098"/>
      <c r="P894" s="1098"/>
      <c r="Q894" s="1098"/>
      <c r="R894" s="1098">
        <f>+(M894/'Parametros Generales'!$C$9)</f>
        <v>0</v>
      </c>
      <c r="S894" s="395"/>
      <c r="T894" s="395"/>
      <c r="U894" s="395"/>
      <c r="V894" s="396"/>
      <c r="W894" s="376">
        <f>+R894*'Componentes T.H.'!$Q$9*'Parametros Generales'!$C$6</f>
        <v>0</v>
      </c>
      <c r="X894" s="376">
        <f>(+VLOOKUP(C894,'Transporte y Viaticos'!$B$87:$L$120,2,0)*'Parametros Generales'!$C$7*R894)*(2/3)</f>
        <v>0</v>
      </c>
      <c r="Y894" s="417"/>
      <c r="Z894" s="417"/>
      <c r="AA894" s="417"/>
      <c r="AB894" s="417">
        <f>+M894*'Parametros Generales'!$C$6*'Parametros Generales'!$J$9</f>
        <v>0</v>
      </c>
      <c r="AC894" s="417">
        <f>+H894*'Parametros Generales'!$J$10*'Parametros Generales'!$C$6*'Parametros Generales'!$C$11</f>
        <v>0</v>
      </c>
      <c r="AD894" s="417"/>
      <c r="AE894" s="417"/>
      <c r="AF894" s="417"/>
      <c r="AG894" s="417"/>
      <c r="AH894" s="417"/>
      <c r="AI894" s="417"/>
      <c r="AJ894" s="417"/>
      <c r="AK894" s="436"/>
      <c r="AL894" s="822"/>
    </row>
    <row r="895" spans="1:38" s="33" customFormat="1" hidden="1" outlineLevel="1">
      <c r="A895" s="1150"/>
      <c r="B895" s="823">
        <f t="shared" si="70"/>
        <v>63</v>
      </c>
      <c r="C895" s="373" t="str">
        <f t="shared" si="71"/>
        <v>QUINDÍO</v>
      </c>
      <c r="D895" s="374"/>
      <c r="E895" s="1113"/>
      <c r="F895" s="1104"/>
      <c r="G895" s="375"/>
      <c r="H895" s="1062"/>
      <c r="I895" s="1057"/>
      <c r="J895" s="1058"/>
      <c r="K895" s="1070" t="str">
        <f t="shared" si="66"/>
        <v>Ok</v>
      </c>
      <c r="L895" s="1077">
        <f t="shared" si="67"/>
        <v>0</v>
      </c>
      <c r="M895" s="1091">
        <f>+H895/'Parametros Generales'!$C$8</f>
        <v>0</v>
      </c>
      <c r="N895" s="1098"/>
      <c r="O895" s="1098"/>
      <c r="P895" s="1098"/>
      <c r="Q895" s="1098"/>
      <c r="R895" s="1098">
        <f>+(M895/'Parametros Generales'!$C$9)</f>
        <v>0</v>
      </c>
      <c r="S895" s="395"/>
      <c r="T895" s="395"/>
      <c r="U895" s="395"/>
      <c r="V895" s="396"/>
      <c r="W895" s="376">
        <f>+R895*'Componentes T.H.'!$Q$9*'Parametros Generales'!$C$6</f>
        <v>0</v>
      </c>
      <c r="X895" s="376">
        <f>(+VLOOKUP(C895,'Transporte y Viaticos'!$B$87:$L$120,2,0)*'Parametros Generales'!$C$7*R895)*(2/3)</f>
        <v>0</v>
      </c>
      <c r="Y895" s="417"/>
      <c r="Z895" s="417"/>
      <c r="AA895" s="417"/>
      <c r="AB895" s="417">
        <f>+M895*'Parametros Generales'!$C$6*'Parametros Generales'!$J$9</f>
        <v>0</v>
      </c>
      <c r="AC895" s="417">
        <f>+H895*'Parametros Generales'!$J$10*'Parametros Generales'!$C$6*'Parametros Generales'!$C$11</f>
        <v>0</v>
      </c>
      <c r="AD895" s="417"/>
      <c r="AE895" s="417"/>
      <c r="AF895" s="417"/>
      <c r="AG895" s="417"/>
      <c r="AH895" s="417"/>
      <c r="AI895" s="417"/>
      <c r="AJ895" s="417"/>
      <c r="AK895" s="436"/>
      <c r="AL895" s="822"/>
    </row>
    <row r="896" spans="1:38" s="33" customFormat="1" hidden="1" outlineLevel="1">
      <c r="A896" s="1150"/>
      <c r="B896" s="823">
        <f t="shared" si="70"/>
        <v>63</v>
      </c>
      <c r="C896" s="373" t="str">
        <f t="shared" si="71"/>
        <v>QUINDÍO</v>
      </c>
      <c r="D896" s="374"/>
      <c r="E896" s="1113"/>
      <c r="F896" s="1104"/>
      <c r="G896" s="375"/>
      <c r="H896" s="1062"/>
      <c r="I896" s="1057"/>
      <c r="J896" s="1058"/>
      <c r="K896" s="1070" t="str">
        <f t="shared" si="66"/>
        <v>Ok</v>
      </c>
      <c r="L896" s="1077">
        <f t="shared" si="67"/>
        <v>0</v>
      </c>
      <c r="M896" s="1091">
        <f>+H896/'Parametros Generales'!$C$8</f>
        <v>0</v>
      </c>
      <c r="N896" s="1098"/>
      <c r="O896" s="1098"/>
      <c r="P896" s="1098"/>
      <c r="Q896" s="1098"/>
      <c r="R896" s="1098">
        <f>+(M896/'Parametros Generales'!$C$9)</f>
        <v>0</v>
      </c>
      <c r="S896" s="395"/>
      <c r="T896" s="395"/>
      <c r="U896" s="395"/>
      <c r="V896" s="396"/>
      <c r="W896" s="376">
        <f>+R896*'Componentes T.H.'!$Q$9*'Parametros Generales'!$C$6</f>
        <v>0</v>
      </c>
      <c r="X896" s="376">
        <f>(+VLOOKUP(C896,'Transporte y Viaticos'!$B$87:$L$120,2,0)*'Parametros Generales'!$C$7*R896)*(2/3)</f>
        <v>0</v>
      </c>
      <c r="Y896" s="417"/>
      <c r="Z896" s="417"/>
      <c r="AA896" s="417"/>
      <c r="AB896" s="417">
        <f>+M896*'Parametros Generales'!$C$6*'Parametros Generales'!$J$9</f>
        <v>0</v>
      </c>
      <c r="AC896" s="417">
        <f>+H896*'Parametros Generales'!$J$10*'Parametros Generales'!$C$6*'Parametros Generales'!$C$11</f>
        <v>0</v>
      </c>
      <c r="AD896" s="417"/>
      <c r="AE896" s="417"/>
      <c r="AF896" s="417"/>
      <c r="AG896" s="417"/>
      <c r="AH896" s="417"/>
      <c r="AI896" s="417"/>
      <c r="AJ896" s="417"/>
      <c r="AK896" s="436"/>
      <c r="AL896" s="822"/>
    </row>
    <row r="897" spans="1:38" s="392" customFormat="1" collapsed="1">
      <c r="A897" s="1151">
        <v>21</v>
      </c>
      <c r="B897" s="824">
        <v>66</v>
      </c>
      <c r="C897" s="385" t="s">
        <v>572</v>
      </c>
      <c r="D897" s="386"/>
      <c r="E897" s="1114" t="s">
        <v>572</v>
      </c>
      <c r="F897" s="1105">
        <f>SUM(F898:F906)</f>
        <v>9</v>
      </c>
      <c r="G897" s="388">
        <f>+SUM(G898:G906)</f>
        <v>2376</v>
      </c>
      <c r="H897" s="512">
        <f>+SUM(H898:H918)</f>
        <v>2300</v>
      </c>
      <c r="I897" s="1057" t="s">
        <v>572</v>
      </c>
      <c r="J897" s="1067">
        <v>2300</v>
      </c>
      <c r="K897" s="1069" t="str">
        <f t="shared" si="66"/>
        <v>Ok</v>
      </c>
      <c r="L897" s="1077">
        <f t="shared" si="67"/>
        <v>0</v>
      </c>
      <c r="M897" s="512">
        <f>+SUM(M898:M918)</f>
        <v>92</v>
      </c>
      <c r="N897" s="1073">
        <f>+VLOOKUP(H897,'Parametros Generales'!$B$14:$D$17,3,TRUE)</f>
        <v>0.6</v>
      </c>
      <c r="O897" s="1073">
        <f>+VLOOKUP(H897,'Parametros Generales'!$B$14:$D$17,3,TRUE)</f>
        <v>0.6</v>
      </c>
      <c r="P897" s="1073">
        <f>+VLOOKUP(H897,'Parametros Generales'!$B$14:$D$17,3,TRUE)</f>
        <v>0.6</v>
      </c>
      <c r="Q897" s="1073">
        <f>+R897/'Parametros Generales'!$C$10</f>
        <v>2.875</v>
      </c>
      <c r="R897" s="512">
        <f>+SUM(R898:R918)</f>
        <v>23</v>
      </c>
      <c r="S897" s="390">
        <f>+VLOOKUP(S$1,'Componentes T.H.'!$B$4:$R$22,'Componentes T.H.'!$Q$1,0)*'Parametros Generales'!$C$6*'Cost x Depart'!N897</f>
        <v>8794058.4826000016</v>
      </c>
      <c r="T897" s="390">
        <f>+VLOOKUP(T$1,'Componentes T.H.'!$B$4:$R$22,'Componentes T.H.'!$Q$1,0)*'Parametros Generales'!$C$6*'Cost x Depart'!O897</f>
        <v>6626289.3953999998</v>
      </c>
      <c r="U897" s="390">
        <f>+VLOOKUP(U$1,'Componentes T.H.'!$B$4:$R$22,'Componentes T.H.'!$Q$1,0)*'Parametros Generales'!$C$6*'Cost x Depart'!P897</f>
        <v>2934259.1999999997</v>
      </c>
      <c r="V897" s="389">
        <f>+VLOOKUP(V$1,'Componentes T.H.'!$B$4:$R$22,'Componentes T.H.'!$Q$1,0)*'Parametros Generales'!$C$6*'Cost x Depart'!Q897</f>
        <v>28724261.661208332</v>
      </c>
      <c r="W897" s="512">
        <f>+SUM(W898:W918)</f>
        <v>115425662.63300003</v>
      </c>
      <c r="X897" s="512">
        <f>+SUM(X898:X918)</f>
        <v>10983742.754708908</v>
      </c>
      <c r="Y897" s="391">
        <f>+VLOOKUP(C898,'Transporte y Viaticos'!$B$87:$F$120,2,0)*((O897/'Parametros Generales'!$J$14)+(Q897/'Parametros Generales'!$J$15)+(R897/'Parametros Generales'!$J$16))*'Parametros Generales'!$C$6</f>
        <v>536352.87310358463</v>
      </c>
      <c r="Z897" s="391">
        <f>+(N897+O897+Q897)*'Parametros Generales'!$C$6*'Parametros Generales'!$J$7</f>
        <v>801226.5</v>
      </c>
      <c r="AA897" s="391">
        <f>+SUM(N897:R897)*'Parametros Generales'!$C$6*'Parametros Generales'!$J$8</f>
        <v>4967662.5</v>
      </c>
      <c r="AB897" s="512">
        <f>+SUM(AB898:AB918)</f>
        <v>44795636.363636367</v>
      </c>
      <c r="AC897" s="512">
        <f>+SUM(AC898:AC918)</f>
        <v>169492735.82511869</v>
      </c>
      <c r="AD897" s="391">
        <f>+'Parametros Generales'!$J$11*SUM(N897:R897)</f>
        <v>930987</v>
      </c>
      <c r="AE897" s="436">
        <f>+SUM(S897:AD897)</f>
        <v>395012875.1887759</v>
      </c>
      <c r="AF897" s="391">
        <f>+AE897*(SUM('Res de Costos Pais'!G117:G117))</f>
        <v>27058381.950431149</v>
      </c>
      <c r="AG897" s="391">
        <f>+AE897+AF897</f>
        <v>422071257.13920707</v>
      </c>
      <c r="AH897" s="391">
        <f>+AG897*SUM('Res de Costos Pais'!$G$123:$G$124)</f>
        <v>4077208.3439647402</v>
      </c>
      <c r="AI897" s="391">
        <f>+(AG897+AH897)*'Res de Costos Pais'!$G$136</f>
        <v>1150600.8568045639</v>
      </c>
      <c r="AJ897" s="391">
        <f>+(AG897+AH897+AI897)*'Res de Costos Pais'!$G$140</f>
        <v>1709196.2653599055</v>
      </c>
      <c r="AK897" s="391">
        <f>+AG897+AH897+AI897+AJ897</f>
        <v>429008262.60533625</v>
      </c>
      <c r="AL897" s="820">
        <f>IF(ISERROR((+(AK897/H897)/'Parametros Generales'!$C$6)),0,(+(AK897/H897)/'Parametros Generales'!$C$6))</f>
        <v>37305.066313507501</v>
      </c>
    </row>
    <row r="898" spans="1:38" s="33" customFormat="1" hidden="1" outlineLevel="1">
      <c r="A898" s="1150"/>
      <c r="B898" s="819">
        <v>66</v>
      </c>
      <c r="C898" s="377" t="s">
        <v>572</v>
      </c>
      <c r="D898" s="378">
        <f>+VLOOKUP(E898,Codigos!$A$1:$B$1123,2,0)</f>
        <v>66001</v>
      </c>
      <c r="E898" s="1110" t="s">
        <v>2150</v>
      </c>
      <c r="F898" s="1102">
        <v>1</v>
      </c>
      <c r="G898" s="379">
        <v>792</v>
      </c>
      <c r="H898" s="1060">
        <f>CEILING((G898-100),'Parametros Generales'!$C$8)</f>
        <v>700</v>
      </c>
      <c r="I898" s="1057" t="s">
        <v>573</v>
      </c>
      <c r="J898" s="1058">
        <v>700</v>
      </c>
      <c r="K898" s="1070" t="str">
        <f t="shared" si="66"/>
        <v>Ok</v>
      </c>
      <c r="L898" s="1077">
        <f t="shared" si="67"/>
        <v>0</v>
      </c>
      <c r="M898" s="1089">
        <f>+H898/'Parametros Generales'!$C$8</f>
        <v>28</v>
      </c>
      <c r="N898" s="1096"/>
      <c r="O898" s="1096"/>
      <c r="P898" s="1096"/>
      <c r="Q898" s="1096"/>
      <c r="R898" s="1096">
        <f>+(M898/'Parametros Generales'!$C$9)</f>
        <v>7</v>
      </c>
      <c r="S898" s="393"/>
      <c r="T898" s="393"/>
      <c r="U898" s="393"/>
      <c r="V898" s="394"/>
      <c r="W898" s="380">
        <f>+R898*'Componentes T.H.'!$Q$9*'Parametros Generales'!$C$6</f>
        <v>35129549.496999994</v>
      </c>
      <c r="X898" s="380">
        <f>(+VLOOKUP(C898,'Transporte y Viaticos'!$B$87:$L$120,2,0)*'Parametros Generales'!$C$7*R898)*(2/3)</f>
        <v>3342878.2296940163</v>
      </c>
      <c r="Y898" s="417"/>
      <c r="Z898" s="417"/>
      <c r="AA898" s="417"/>
      <c r="AB898" s="417">
        <f>+M898*'Parametros Generales'!$C$6*'Parametros Generales'!$J$9</f>
        <v>13633454.545454549</v>
      </c>
      <c r="AC898" s="417">
        <f>+H898*'Parametros Generales'!$J$10*'Parametros Generales'!$C$6*'Parametros Generales'!$C$11</f>
        <v>51584745.685905688</v>
      </c>
      <c r="AD898" s="417"/>
      <c r="AE898" s="417"/>
      <c r="AF898" s="417"/>
      <c r="AG898" s="417"/>
      <c r="AH898" s="417"/>
      <c r="AI898" s="417"/>
      <c r="AJ898" s="417"/>
      <c r="AK898" s="436"/>
      <c r="AL898" s="822"/>
    </row>
    <row r="899" spans="1:38" s="33" customFormat="1" hidden="1" outlineLevel="1">
      <c r="A899" s="1150"/>
      <c r="B899" s="821">
        <v>66</v>
      </c>
      <c r="C899" s="371" t="s">
        <v>572</v>
      </c>
      <c r="D899" s="31">
        <f>+VLOOKUP(E899,Codigos!$A$1:$B$1123,2,0)</f>
        <v>66088</v>
      </c>
      <c r="E899" s="1111" t="s">
        <v>2151</v>
      </c>
      <c r="F899" s="1103">
        <v>1</v>
      </c>
      <c r="G899" s="30">
        <v>198</v>
      </c>
      <c r="H899" s="1061">
        <f>CEILING(G899,'Parametros Generales'!$C$8)</f>
        <v>200</v>
      </c>
      <c r="I899" s="1057" t="s">
        <v>574</v>
      </c>
      <c r="J899" s="1058">
        <v>200</v>
      </c>
      <c r="K899" s="1070" t="str">
        <f t="shared" ref="K899:K962" si="72">+IF(I899=E899,"Ok","Rev")</f>
        <v>Ok</v>
      </c>
      <c r="L899" s="1077">
        <f t="shared" ref="L899:L962" si="73">+J899-H899</f>
        <v>0</v>
      </c>
      <c r="M899" s="1090">
        <f>+H899/'Parametros Generales'!$C$8</f>
        <v>8</v>
      </c>
      <c r="N899" s="1097"/>
      <c r="O899" s="1097"/>
      <c r="P899" s="1097"/>
      <c r="Q899" s="1097"/>
      <c r="R899" s="1097">
        <f>+(M899/'Parametros Generales'!$C$9)</f>
        <v>2</v>
      </c>
      <c r="S899" s="390"/>
      <c r="T899" s="390"/>
      <c r="U899" s="390"/>
      <c r="V899" s="389"/>
      <c r="W899" s="32">
        <f>+R899*'Componentes T.H.'!$Q$9*'Parametros Generales'!$C$6</f>
        <v>10037014.142000001</v>
      </c>
      <c r="X899" s="32">
        <f>(+VLOOKUP(C899,'Transporte y Viaticos'!$B$87:$L$120,2,0)*'Parametros Generales'!$C$7*R899)*(2/3)</f>
        <v>955108.06562686176</v>
      </c>
      <c r="Y899" s="417"/>
      <c r="Z899" s="417"/>
      <c r="AA899" s="417"/>
      <c r="AB899" s="417">
        <f>+M899*'Parametros Generales'!$C$6*'Parametros Generales'!$J$9</f>
        <v>3895272.7272727285</v>
      </c>
      <c r="AC899" s="417">
        <f>+H899*'Parametros Generales'!$J$10*'Parametros Generales'!$C$6*'Parametros Generales'!$C$11</f>
        <v>14738498.767401624</v>
      </c>
      <c r="AD899" s="417"/>
      <c r="AE899" s="417"/>
      <c r="AF899" s="417"/>
      <c r="AG899" s="417"/>
      <c r="AH899" s="417"/>
      <c r="AI899" s="417"/>
      <c r="AJ899" s="417"/>
      <c r="AK899" s="436"/>
      <c r="AL899" s="822"/>
    </row>
    <row r="900" spans="1:38" s="33" customFormat="1" hidden="1" outlineLevel="1">
      <c r="A900" s="1150"/>
      <c r="B900" s="821">
        <v>66</v>
      </c>
      <c r="C900" s="371" t="s">
        <v>572</v>
      </c>
      <c r="D900" s="31">
        <f>+VLOOKUP(E900,Codigos!$A$1:$B$1123,2,0)</f>
        <v>66170</v>
      </c>
      <c r="E900" s="1111" t="s">
        <v>2152</v>
      </c>
      <c r="F900" s="1103">
        <v>1</v>
      </c>
      <c r="G900" s="30">
        <v>198</v>
      </c>
      <c r="H900" s="1061">
        <f>CEILING(G900,'Parametros Generales'!$C$8)</f>
        <v>200</v>
      </c>
      <c r="I900" s="1057" t="s">
        <v>575</v>
      </c>
      <c r="J900" s="1058">
        <v>200</v>
      </c>
      <c r="K900" s="1070" t="str">
        <f t="shared" si="72"/>
        <v>Ok</v>
      </c>
      <c r="L900" s="1076">
        <f t="shared" si="73"/>
        <v>0</v>
      </c>
      <c r="M900" s="1090">
        <f>+H900/'Parametros Generales'!$C$8</f>
        <v>8</v>
      </c>
      <c r="N900" s="1097"/>
      <c r="O900" s="1097"/>
      <c r="P900" s="1097"/>
      <c r="Q900" s="1097"/>
      <c r="R900" s="1097">
        <f>+(M900/'Parametros Generales'!$C$9)</f>
        <v>2</v>
      </c>
      <c r="S900" s="390"/>
      <c r="T900" s="390"/>
      <c r="U900" s="390"/>
      <c r="V900" s="389"/>
      <c r="W900" s="32">
        <f>+R900*'Componentes T.H.'!$Q$9*'Parametros Generales'!$C$6</f>
        <v>10037014.142000001</v>
      </c>
      <c r="X900" s="32">
        <f>(+VLOOKUP(C900,'Transporte y Viaticos'!$B$87:$L$120,2,0)*'Parametros Generales'!$C$7*R900)*(2/3)</f>
        <v>955108.06562686176</v>
      </c>
      <c r="Y900" s="417"/>
      <c r="Z900" s="417"/>
      <c r="AA900" s="417"/>
      <c r="AB900" s="417">
        <f>+M900*'Parametros Generales'!$C$6*'Parametros Generales'!$J$9</f>
        <v>3895272.7272727285</v>
      </c>
      <c r="AC900" s="417">
        <f>+H900*'Parametros Generales'!$J$10*'Parametros Generales'!$C$6*'Parametros Generales'!$C$11</f>
        <v>14738498.767401624</v>
      </c>
      <c r="AD900" s="417"/>
      <c r="AE900" s="417"/>
      <c r="AF900" s="417"/>
      <c r="AG900" s="417"/>
      <c r="AH900" s="417"/>
      <c r="AI900" s="417"/>
      <c r="AJ900" s="417"/>
      <c r="AK900" s="436"/>
      <c r="AL900" s="822"/>
    </row>
    <row r="901" spans="1:38" s="33" customFormat="1" hidden="1" outlineLevel="1">
      <c r="A901" s="1150"/>
      <c r="B901" s="821">
        <v>66</v>
      </c>
      <c r="C901" s="371" t="s">
        <v>572</v>
      </c>
      <c r="D901" s="31" t="e">
        <f>+VLOOKUP(E901,Codigos!$A$1:$B$1123,2,0)</f>
        <v>#N/A</v>
      </c>
      <c r="E901" s="1111" t="s">
        <v>2153</v>
      </c>
      <c r="F901" s="1103">
        <v>1</v>
      </c>
      <c r="G901" s="30">
        <v>198</v>
      </c>
      <c r="H901" s="1061">
        <f>CEILING(G901,'Parametros Generales'!$C$8)</f>
        <v>200</v>
      </c>
      <c r="I901" s="1057" t="s">
        <v>2404</v>
      </c>
      <c r="J901" s="1058">
        <v>200</v>
      </c>
      <c r="K901" s="1070" t="str">
        <f t="shared" si="72"/>
        <v>Ok</v>
      </c>
      <c r="L901" s="1077">
        <f t="shared" si="73"/>
        <v>0</v>
      </c>
      <c r="M901" s="1090">
        <f>+H901/'Parametros Generales'!$C$8</f>
        <v>8</v>
      </c>
      <c r="N901" s="1097"/>
      <c r="O901" s="1097"/>
      <c r="P901" s="1097"/>
      <c r="Q901" s="1097"/>
      <c r="R901" s="1097">
        <f>+(M901/'Parametros Generales'!$C$9)</f>
        <v>2</v>
      </c>
      <c r="S901" s="390"/>
      <c r="T901" s="390"/>
      <c r="U901" s="390"/>
      <c r="V901" s="389"/>
      <c r="W901" s="32">
        <f>+R901*'Componentes T.H.'!$Q$9*'Parametros Generales'!$C$6</f>
        <v>10037014.142000001</v>
      </c>
      <c r="X901" s="32">
        <f>(+VLOOKUP(C901,'Transporte y Viaticos'!$B$87:$L$120,2,0)*'Parametros Generales'!$C$7*R901)*(2/3)</f>
        <v>955108.06562686176</v>
      </c>
      <c r="Y901" s="417"/>
      <c r="Z901" s="417"/>
      <c r="AA901" s="417"/>
      <c r="AB901" s="417">
        <f>+M901*'Parametros Generales'!$C$6*'Parametros Generales'!$J$9</f>
        <v>3895272.7272727285</v>
      </c>
      <c r="AC901" s="417">
        <f>+H901*'Parametros Generales'!$J$10*'Parametros Generales'!$C$6*'Parametros Generales'!$C$11</f>
        <v>14738498.767401624</v>
      </c>
      <c r="AD901" s="417"/>
      <c r="AE901" s="417"/>
      <c r="AF901" s="417"/>
      <c r="AG901" s="417"/>
      <c r="AH901" s="417"/>
      <c r="AI901" s="417"/>
      <c r="AJ901" s="417"/>
      <c r="AK901" s="436"/>
      <c r="AL901" s="822"/>
    </row>
    <row r="902" spans="1:38" s="33" customFormat="1" hidden="1" outlineLevel="1">
      <c r="A902" s="1150"/>
      <c r="B902" s="821">
        <v>66</v>
      </c>
      <c r="C902" s="371" t="s">
        <v>572</v>
      </c>
      <c r="D902" s="31">
        <f>+VLOOKUP(E902,Codigos!$A$1:$B$1123,2,0)</f>
        <v>66400</v>
      </c>
      <c r="E902" s="1111" t="s">
        <v>2154</v>
      </c>
      <c r="F902" s="1103">
        <v>1</v>
      </c>
      <c r="G902" s="30">
        <v>198</v>
      </c>
      <c r="H902" s="1061">
        <f>CEILING(G902,'Parametros Generales'!$C$8)</f>
        <v>200</v>
      </c>
      <c r="I902" s="1057" t="s">
        <v>576</v>
      </c>
      <c r="J902" s="1058">
        <v>200</v>
      </c>
      <c r="K902" s="1070" t="str">
        <f t="shared" si="72"/>
        <v>Ok</v>
      </c>
      <c r="L902" s="1077">
        <f t="shared" si="73"/>
        <v>0</v>
      </c>
      <c r="M902" s="1090">
        <f>+H902/'Parametros Generales'!$C$8</f>
        <v>8</v>
      </c>
      <c r="N902" s="1097"/>
      <c r="O902" s="1097"/>
      <c r="P902" s="1097"/>
      <c r="Q902" s="1097"/>
      <c r="R902" s="1097">
        <f>+(M902/'Parametros Generales'!$C$9)</f>
        <v>2</v>
      </c>
      <c r="S902" s="390"/>
      <c r="T902" s="390"/>
      <c r="U902" s="390"/>
      <c r="V902" s="389"/>
      <c r="W902" s="32">
        <f>+R902*'Componentes T.H.'!$Q$9*'Parametros Generales'!$C$6</f>
        <v>10037014.142000001</v>
      </c>
      <c r="X902" s="32">
        <f>(+VLOOKUP(C902,'Transporte y Viaticos'!$B$87:$L$120,2,0)*'Parametros Generales'!$C$7*R902)*(2/3)</f>
        <v>955108.06562686176</v>
      </c>
      <c r="Y902" s="417"/>
      <c r="Z902" s="417"/>
      <c r="AA902" s="417"/>
      <c r="AB902" s="417">
        <f>+M902*'Parametros Generales'!$C$6*'Parametros Generales'!$J$9</f>
        <v>3895272.7272727285</v>
      </c>
      <c r="AC902" s="417">
        <f>+H902*'Parametros Generales'!$J$10*'Parametros Generales'!$C$6*'Parametros Generales'!$C$11</f>
        <v>14738498.767401624</v>
      </c>
      <c r="AD902" s="417"/>
      <c r="AE902" s="417"/>
      <c r="AF902" s="417"/>
      <c r="AG902" s="417"/>
      <c r="AH902" s="417"/>
      <c r="AI902" s="417"/>
      <c r="AJ902" s="417"/>
      <c r="AK902" s="436"/>
      <c r="AL902" s="822"/>
    </row>
    <row r="903" spans="1:38" s="33" customFormat="1" hidden="1" outlineLevel="1">
      <c r="A903" s="1150"/>
      <c r="B903" s="821">
        <v>66</v>
      </c>
      <c r="C903" s="371" t="s">
        <v>572</v>
      </c>
      <c r="D903" s="31">
        <f>+VLOOKUP(E903,Codigos!$A$1:$B$1123,2,0)</f>
        <v>66456</v>
      </c>
      <c r="E903" s="1111" t="s">
        <v>2155</v>
      </c>
      <c r="F903" s="1103">
        <v>1</v>
      </c>
      <c r="G903" s="30">
        <v>198</v>
      </c>
      <c r="H903" s="1061">
        <f>CEILING(G903,'Parametros Generales'!$C$8)</f>
        <v>200</v>
      </c>
      <c r="I903" s="1057" t="s">
        <v>577</v>
      </c>
      <c r="J903" s="1058">
        <v>200</v>
      </c>
      <c r="K903" s="1070" t="str">
        <f t="shared" si="72"/>
        <v>Ok</v>
      </c>
      <c r="L903" s="1077">
        <f t="shared" si="73"/>
        <v>0</v>
      </c>
      <c r="M903" s="1090">
        <f>+H903/'Parametros Generales'!$C$8</f>
        <v>8</v>
      </c>
      <c r="N903" s="1097"/>
      <c r="O903" s="1097"/>
      <c r="P903" s="1097"/>
      <c r="Q903" s="1097"/>
      <c r="R903" s="1097">
        <f>+(M903/'Parametros Generales'!$C$9)</f>
        <v>2</v>
      </c>
      <c r="S903" s="390"/>
      <c r="T903" s="390"/>
      <c r="U903" s="390"/>
      <c r="V903" s="389"/>
      <c r="W903" s="32">
        <f>+R903*'Componentes T.H.'!$Q$9*'Parametros Generales'!$C$6</f>
        <v>10037014.142000001</v>
      </c>
      <c r="X903" s="32">
        <f>(+VLOOKUP(C903,'Transporte y Viaticos'!$B$87:$L$120,2,0)*'Parametros Generales'!$C$7*R903)*(2/3)</f>
        <v>955108.06562686176</v>
      </c>
      <c r="Y903" s="417"/>
      <c r="Z903" s="417"/>
      <c r="AA903" s="417"/>
      <c r="AB903" s="417">
        <f>+M903*'Parametros Generales'!$C$6*'Parametros Generales'!$J$9</f>
        <v>3895272.7272727285</v>
      </c>
      <c r="AC903" s="417">
        <f>+H903*'Parametros Generales'!$J$10*'Parametros Generales'!$C$6*'Parametros Generales'!$C$11</f>
        <v>14738498.767401624</v>
      </c>
      <c r="AD903" s="417"/>
      <c r="AE903" s="417"/>
      <c r="AF903" s="417"/>
      <c r="AG903" s="417"/>
      <c r="AH903" s="417"/>
      <c r="AI903" s="417"/>
      <c r="AJ903" s="417"/>
      <c r="AK903" s="436"/>
      <c r="AL903" s="822"/>
    </row>
    <row r="904" spans="1:38" s="33" customFormat="1" hidden="1" outlineLevel="1">
      <c r="A904" s="1150"/>
      <c r="B904" s="821">
        <v>66</v>
      </c>
      <c r="C904" s="371" t="s">
        <v>572</v>
      </c>
      <c r="D904" s="31">
        <f>+VLOOKUP(E904,Codigos!$A$1:$B$1123,2,0)</f>
        <v>66594</v>
      </c>
      <c r="E904" s="1111" t="s">
        <v>2156</v>
      </c>
      <c r="F904" s="1103">
        <v>1</v>
      </c>
      <c r="G904" s="30">
        <v>198</v>
      </c>
      <c r="H904" s="1061">
        <f>CEILING(G904,'Parametros Generales'!$C$8)</f>
        <v>200</v>
      </c>
      <c r="I904" s="1057" t="s">
        <v>578</v>
      </c>
      <c r="J904" s="1058">
        <v>200</v>
      </c>
      <c r="K904" s="1070" t="str">
        <f t="shared" si="72"/>
        <v>Ok</v>
      </c>
      <c r="L904" s="1077">
        <f t="shared" si="73"/>
        <v>0</v>
      </c>
      <c r="M904" s="1090">
        <f>+H904/'Parametros Generales'!$C$8</f>
        <v>8</v>
      </c>
      <c r="N904" s="1097"/>
      <c r="O904" s="1097"/>
      <c r="P904" s="1097"/>
      <c r="Q904" s="1097"/>
      <c r="R904" s="1097">
        <f>+(M904/'Parametros Generales'!$C$9)</f>
        <v>2</v>
      </c>
      <c r="S904" s="390"/>
      <c r="T904" s="390"/>
      <c r="U904" s="390"/>
      <c r="V904" s="389"/>
      <c r="W904" s="32">
        <f>+R904*'Componentes T.H.'!$Q$9*'Parametros Generales'!$C$6</f>
        <v>10037014.142000001</v>
      </c>
      <c r="X904" s="32">
        <f>(+VLOOKUP(C904,'Transporte y Viaticos'!$B$87:$L$120,2,0)*'Parametros Generales'!$C$7*R904)*(2/3)</f>
        <v>955108.06562686176</v>
      </c>
      <c r="Y904" s="417"/>
      <c r="Z904" s="417"/>
      <c r="AA904" s="417"/>
      <c r="AB904" s="417">
        <f>+M904*'Parametros Generales'!$C$6*'Parametros Generales'!$J$9</f>
        <v>3895272.7272727285</v>
      </c>
      <c r="AC904" s="417">
        <f>+H904*'Parametros Generales'!$J$10*'Parametros Generales'!$C$6*'Parametros Generales'!$C$11</f>
        <v>14738498.767401624</v>
      </c>
      <c r="AD904" s="417"/>
      <c r="AE904" s="417"/>
      <c r="AF904" s="417"/>
      <c r="AG904" s="417"/>
      <c r="AH904" s="417"/>
      <c r="AI904" s="417"/>
      <c r="AJ904" s="417"/>
      <c r="AK904" s="436"/>
      <c r="AL904" s="822"/>
    </row>
    <row r="905" spans="1:38" s="33" customFormat="1" hidden="1" outlineLevel="1">
      <c r="A905" s="1150"/>
      <c r="B905" s="821">
        <v>66</v>
      </c>
      <c r="C905" s="371" t="s">
        <v>572</v>
      </c>
      <c r="D905" s="31">
        <f>+VLOOKUP(E905,Codigos!$A$1:$B$1123,2,0)</f>
        <v>66682</v>
      </c>
      <c r="E905" s="1111" t="s">
        <v>2157</v>
      </c>
      <c r="F905" s="1103">
        <v>1</v>
      </c>
      <c r="G905" s="30">
        <v>198</v>
      </c>
      <c r="H905" s="1061">
        <f>CEILING(G905,'Parametros Generales'!$C$8)</f>
        <v>200</v>
      </c>
      <c r="I905" s="1057" t="s">
        <v>579</v>
      </c>
      <c r="J905" s="1058">
        <v>200</v>
      </c>
      <c r="K905" s="1070" t="str">
        <f t="shared" si="72"/>
        <v>Ok</v>
      </c>
      <c r="L905" s="1077">
        <f t="shared" si="73"/>
        <v>0</v>
      </c>
      <c r="M905" s="1090">
        <f>+H905/'Parametros Generales'!$C$8</f>
        <v>8</v>
      </c>
      <c r="N905" s="1097"/>
      <c r="O905" s="1097"/>
      <c r="P905" s="1097"/>
      <c r="Q905" s="1097"/>
      <c r="R905" s="1097">
        <f>+(M905/'Parametros Generales'!$C$9)</f>
        <v>2</v>
      </c>
      <c r="S905" s="390"/>
      <c r="T905" s="390"/>
      <c r="U905" s="390"/>
      <c r="V905" s="389"/>
      <c r="W905" s="32">
        <f>+R905*'Componentes T.H.'!$Q$9*'Parametros Generales'!$C$6</f>
        <v>10037014.142000001</v>
      </c>
      <c r="X905" s="32">
        <f>(+VLOOKUP(C905,'Transporte y Viaticos'!$B$87:$L$120,2,0)*'Parametros Generales'!$C$7*R905)*(2/3)</f>
        <v>955108.06562686176</v>
      </c>
      <c r="Y905" s="417"/>
      <c r="Z905" s="417"/>
      <c r="AA905" s="417"/>
      <c r="AB905" s="417">
        <f>+M905*'Parametros Generales'!$C$6*'Parametros Generales'!$J$9</f>
        <v>3895272.7272727285</v>
      </c>
      <c r="AC905" s="417">
        <f>+H905*'Parametros Generales'!$J$10*'Parametros Generales'!$C$6*'Parametros Generales'!$C$11</f>
        <v>14738498.767401624</v>
      </c>
      <c r="AD905" s="417"/>
      <c r="AE905" s="417"/>
      <c r="AF905" s="417"/>
      <c r="AG905" s="417"/>
      <c r="AH905" s="417"/>
      <c r="AI905" s="417"/>
      <c r="AJ905" s="417"/>
      <c r="AK905" s="436"/>
      <c r="AL905" s="822"/>
    </row>
    <row r="906" spans="1:38" s="33" customFormat="1" hidden="1" outlineLevel="1">
      <c r="A906" s="1150"/>
      <c r="B906" s="823">
        <v>66</v>
      </c>
      <c r="C906" s="373" t="s">
        <v>572</v>
      </c>
      <c r="D906" s="374">
        <f>+VLOOKUP(E906,Codigos!$A$1:$B$1123,2,0)</f>
        <v>66687</v>
      </c>
      <c r="E906" s="1113" t="s">
        <v>2158</v>
      </c>
      <c r="F906" s="1104">
        <v>1</v>
      </c>
      <c r="G906" s="375">
        <v>198</v>
      </c>
      <c r="H906" s="1062">
        <f>CEILING(G906,'Parametros Generales'!$C$8)</f>
        <v>200</v>
      </c>
      <c r="I906" s="1057" t="s">
        <v>580</v>
      </c>
      <c r="J906" s="1058">
        <v>200</v>
      </c>
      <c r="K906" s="1070" t="str">
        <f t="shared" si="72"/>
        <v>Ok</v>
      </c>
      <c r="L906" s="1077">
        <f t="shared" si="73"/>
        <v>0</v>
      </c>
      <c r="M906" s="1091">
        <f>+H906/'Parametros Generales'!$C$8</f>
        <v>8</v>
      </c>
      <c r="N906" s="1098"/>
      <c r="O906" s="1098"/>
      <c r="P906" s="1098"/>
      <c r="Q906" s="1098"/>
      <c r="R906" s="1098">
        <f>+(M906/'Parametros Generales'!$C$9)</f>
        <v>2</v>
      </c>
      <c r="S906" s="395"/>
      <c r="T906" s="395"/>
      <c r="U906" s="395"/>
      <c r="V906" s="396"/>
      <c r="W906" s="376">
        <f>+R906*'Componentes T.H.'!$Q$9*'Parametros Generales'!$C$6</f>
        <v>10037014.142000001</v>
      </c>
      <c r="X906" s="376">
        <f>(+VLOOKUP(C906,'Transporte y Viaticos'!$B$87:$L$120,2,0)*'Parametros Generales'!$C$7*R906)*(2/3)</f>
        <v>955108.06562686176</v>
      </c>
      <c r="Y906" s="417"/>
      <c r="Z906" s="417"/>
      <c r="AA906" s="417"/>
      <c r="AB906" s="417">
        <f>+M906*'Parametros Generales'!$C$6*'Parametros Generales'!$J$9</f>
        <v>3895272.7272727285</v>
      </c>
      <c r="AC906" s="417">
        <f>+H906*'Parametros Generales'!$J$10*'Parametros Generales'!$C$6*'Parametros Generales'!$C$11</f>
        <v>14738498.767401624</v>
      </c>
      <c r="AD906" s="417"/>
      <c r="AE906" s="417"/>
      <c r="AF906" s="417"/>
      <c r="AG906" s="417"/>
      <c r="AH906" s="417"/>
      <c r="AI906" s="417"/>
      <c r="AJ906" s="417"/>
      <c r="AK906" s="436"/>
      <c r="AL906" s="822"/>
    </row>
    <row r="907" spans="1:38" s="33" customFormat="1" hidden="1" outlineLevel="1">
      <c r="A907" s="1150"/>
      <c r="B907" s="823">
        <f t="shared" ref="B907:B918" si="74">+B906</f>
        <v>66</v>
      </c>
      <c r="C907" s="373" t="str">
        <f t="shared" ref="C907:C918" si="75">+C906</f>
        <v>RISARALDA</v>
      </c>
      <c r="D907" s="374"/>
      <c r="E907" s="1113"/>
      <c r="F907" s="1104"/>
      <c r="G907" s="375"/>
      <c r="H907" s="1062"/>
      <c r="I907" s="1057"/>
      <c r="J907" s="1058"/>
      <c r="K907" s="1070" t="str">
        <f t="shared" si="72"/>
        <v>Ok</v>
      </c>
      <c r="L907" s="1077">
        <f t="shared" si="73"/>
        <v>0</v>
      </c>
      <c r="M907" s="1091">
        <f>+H907/'Parametros Generales'!$C$8</f>
        <v>0</v>
      </c>
      <c r="N907" s="1098"/>
      <c r="O907" s="1098"/>
      <c r="P907" s="1098"/>
      <c r="Q907" s="1098"/>
      <c r="R907" s="1098">
        <f>+(M907/'Parametros Generales'!$C$9)</f>
        <v>0</v>
      </c>
      <c r="S907" s="395"/>
      <c r="T907" s="395"/>
      <c r="U907" s="395"/>
      <c r="V907" s="396"/>
      <c r="W907" s="376">
        <f>+R907*'Componentes T.H.'!$Q$9*'Parametros Generales'!$C$6</f>
        <v>0</v>
      </c>
      <c r="X907" s="376">
        <f>(+VLOOKUP(C907,'Transporte y Viaticos'!$B$87:$L$120,2,0)*'Parametros Generales'!$C$7*R907)*(2/3)</f>
        <v>0</v>
      </c>
      <c r="Y907" s="417"/>
      <c r="Z907" s="417"/>
      <c r="AA907" s="417"/>
      <c r="AB907" s="417">
        <f>+M907*'Parametros Generales'!$C$6*'Parametros Generales'!$J$9</f>
        <v>0</v>
      </c>
      <c r="AC907" s="417">
        <f>+H907*'Parametros Generales'!$J$10*'Parametros Generales'!$C$6*'Parametros Generales'!$C$11</f>
        <v>0</v>
      </c>
      <c r="AD907" s="417"/>
      <c r="AE907" s="417"/>
      <c r="AF907" s="417"/>
      <c r="AG907" s="417"/>
      <c r="AH907" s="417"/>
      <c r="AI907" s="417"/>
      <c r="AJ907" s="417"/>
      <c r="AK907" s="436"/>
      <c r="AL907" s="822"/>
    </row>
    <row r="908" spans="1:38" s="33" customFormat="1" hidden="1" outlineLevel="1">
      <c r="A908" s="1150"/>
      <c r="B908" s="823">
        <f t="shared" si="74"/>
        <v>66</v>
      </c>
      <c r="C908" s="373" t="str">
        <f t="shared" si="75"/>
        <v>RISARALDA</v>
      </c>
      <c r="D908" s="374"/>
      <c r="E908" s="1113"/>
      <c r="F908" s="1104"/>
      <c r="G908" s="375"/>
      <c r="H908" s="1062"/>
      <c r="I908" s="1057"/>
      <c r="J908" s="1058"/>
      <c r="K908" s="1070" t="str">
        <f t="shared" si="72"/>
        <v>Ok</v>
      </c>
      <c r="L908" s="1077">
        <f t="shared" si="73"/>
        <v>0</v>
      </c>
      <c r="M908" s="1091">
        <f>+H908/'Parametros Generales'!$C$8</f>
        <v>0</v>
      </c>
      <c r="N908" s="1098"/>
      <c r="O908" s="1098"/>
      <c r="P908" s="1098"/>
      <c r="Q908" s="1098"/>
      <c r="R908" s="1098">
        <f>+(M908/'Parametros Generales'!$C$9)</f>
        <v>0</v>
      </c>
      <c r="S908" s="395"/>
      <c r="T908" s="395"/>
      <c r="U908" s="395"/>
      <c r="V908" s="396"/>
      <c r="W908" s="376">
        <f>+R908*'Componentes T.H.'!$Q$9*'Parametros Generales'!$C$6</f>
        <v>0</v>
      </c>
      <c r="X908" s="376">
        <f>(+VLOOKUP(C908,'Transporte y Viaticos'!$B$87:$L$120,2,0)*'Parametros Generales'!$C$7*R908)*(2/3)</f>
        <v>0</v>
      </c>
      <c r="Y908" s="417"/>
      <c r="Z908" s="417"/>
      <c r="AA908" s="417"/>
      <c r="AB908" s="417">
        <f>+M908*'Parametros Generales'!$C$6*'Parametros Generales'!$J$9</f>
        <v>0</v>
      </c>
      <c r="AC908" s="417">
        <f>+H908*'Parametros Generales'!$J$10*'Parametros Generales'!$C$6*'Parametros Generales'!$C$11</f>
        <v>0</v>
      </c>
      <c r="AD908" s="417"/>
      <c r="AE908" s="417"/>
      <c r="AF908" s="417"/>
      <c r="AG908" s="417"/>
      <c r="AH908" s="417"/>
      <c r="AI908" s="417"/>
      <c r="AJ908" s="417"/>
      <c r="AK908" s="436"/>
      <c r="AL908" s="822"/>
    </row>
    <row r="909" spans="1:38" s="33" customFormat="1" hidden="1" outlineLevel="1">
      <c r="A909" s="1150"/>
      <c r="B909" s="823">
        <f t="shared" si="74"/>
        <v>66</v>
      </c>
      <c r="C909" s="373" t="str">
        <f t="shared" si="75"/>
        <v>RISARALDA</v>
      </c>
      <c r="D909" s="374"/>
      <c r="E909" s="1113"/>
      <c r="F909" s="1104"/>
      <c r="G909" s="375"/>
      <c r="H909" s="1062"/>
      <c r="I909" s="1057"/>
      <c r="J909" s="1058"/>
      <c r="K909" s="1070" t="str">
        <f t="shared" si="72"/>
        <v>Ok</v>
      </c>
      <c r="L909" s="1077">
        <f t="shared" si="73"/>
        <v>0</v>
      </c>
      <c r="M909" s="1091">
        <f>+H909/'Parametros Generales'!$C$8</f>
        <v>0</v>
      </c>
      <c r="N909" s="1098"/>
      <c r="O909" s="1098"/>
      <c r="P909" s="1098"/>
      <c r="Q909" s="1098"/>
      <c r="R909" s="1098">
        <f>+(M909/'Parametros Generales'!$C$9)</f>
        <v>0</v>
      </c>
      <c r="S909" s="395"/>
      <c r="T909" s="395"/>
      <c r="U909" s="395"/>
      <c r="V909" s="396"/>
      <c r="W909" s="376">
        <f>+R909*'Componentes T.H.'!$Q$9*'Parametros Generales'!$C$6</f>
        <v>0</v>
      </c>
      <c r="X909" s="376">
        <f>(+VLOOKUP(C909,'Transporte y Viaticos'!$B$87:$L$120,2,0)*'Parametros Generales'!$C$7*R909)*(2/3)</f>
        <v>0</v>
      </c>
      <c r="Y909" s="417"/>
      <c r="Z909" s="417"/>
      <c r="AA909" s="417"/>
      <c r="AB909" s="417">
        <f>+M909*'Parametros Generales'!$C$6*'Parametros Generales'!$J$9</f>
        <v>0</v>
      </c>
      <c r="AC909" s="417">
        <f>+H909*'Parametros Generales'!$J$10*'Parametros Generales'!$C$6*'Parametros Generales'!$C$11</f>
        <v>0</v>
      </c>
      <c r="AD909" s="417"/>
      <c r="AE909" s="417"/>
      <c r="AF909" s="417"/>
      <c r="AG909" s="417"/>
      <c r="AH909" s="417"/>
      <c r="AI909" s="417"/>
      <c r="AJ909" s="417"/>
      <c r="AK909" s="436"/>
      <c r="AL909" s="822"/>
    </row>
    <row r="910" spans="1:38" s="33" customFormat="1" hidden="1" outlineLevel="1">
      <c r="A910" s="1150"/>
      <c r="B910" s="823">
        <f t="shared" si="74"/>
        <v>66</v>
      </c>
      <c r="C910" s="373" t="str">
        <f t="shared" si="75"/>
        <v>RISARALDA</v>
      </c>
      <c r="D910" s="374"/>
      <c r="E910" s="1113"/>
      <c r="F910" s="1104"/>
      <c r="G910" s="375"/>
      <c r="H910" s="1062"/>
      <c r="I910" s="1057"/>
      <c r="J910" s="1058"/>
      <c r="K910" s="1070" t="str">
        <f t="shared" si="72"/>
        <v>Ok</v>
      </c>
      <c r="L910" s="1077">
        <f t="shared" si="73"/>
        <v>0</v>
      </c>
      <c r="M910" s="1091">
        <f>+H910/'Parametros Generales'!$C$8</f>
        <v>0</v>
      </c>
      <c r="N910" s="1098"/>
      <c r="O910" s="1098"/>
      <c r="P910" s="1098"/>
      <c r="Q910" s="1098"/>
      <c r="R910" s="1098">
        <f>+(M910/'Parametros Generales'!$C$9)</f>
        <v>0</v>
      </c>
      <c r="S910" s="395"/>
      <c r="T910" s="395"/>
      <c r="U910" s="395"/>
      <c r="V910" s="396"/>
      <c r="W910" s="376">
        <f>+R910*'Componentes T.H.'!$Q$9*'Parametros Generales'!$C$6</f>
        <v>0</v>
      </c>
      <c r="X910" s="376">
        <f>(+VLOOKUP(C910,'Transporte y Viaticos'!$B$87:$L$120,2,0)*'Parametros Generales'!$C$7*R910)*(2/3)</f>
        <v>0</v>
      </c>
      <c r="Y910" s="417"/>
      <c r="Z910" s="417"/>
      <c r="AA910" s="417"/>
      <c r="AB910" s="417">
        <f>+M910*'Parametros Generales'!$C$6*'Parametros Generales'!$J$9</f>
        <v>0</v>
      </c>
      <c r="AC910" s="417">
        <f>+H910*'Parametros Generales'!$J$10*'Parametros Generales'!$C$6*'Parametros Generales'!$C$11</f>
        <v>0</v>
      </c>
      <c r="AD910" s="417"/>
      <c r="AE910" s="417"/>
      <c r="AF910" s="417"/>
      <c r="AG910" s="417"/>
      <c r="AH910" s="417"/>
      <c r="AI910" s="417"/>
      <c r="AJ910" s="417"/>
      <c r="AK910" s="436"/>
      <c r="AL910" s="822"/>
    </row>
    <row r="911" spans="1:38" s="33" customFormat="1" hidden="1" outlineLevel="1">
      <c r="A911" s="1150"/>
      <c r="B911" s="823">
        <f t="shared" si="74"/>
        <v>66</v>
      </c>
      <c r="C911" s="373" t="str">
        <f t="shared" si="75"/>
        <v>RISARALDA</v>
      </c>
      <c r="D911" s="374"/>
      <c r="E911" s="1113"/>
      <c r="F911" s="1104"/>
      <c r="G911" s="375"/>
      <c r="H911" s="1062"/>
      <c r="I911" s="1057"/>
      <c r="J911" s="1058"/>
      <c r="K911" s="1070" t="str">
        <f t="shared" si="72"/>
        <v>Ok</v>
      </c>
      <c r="L911" s="1077">
        <f t="shared" si="73"/>
        <v>0</v>
      </c>
      <c r="M911" s="1091">
        <f>+H911/'Parametros Generales'!$C$8</f>
        <v>0</v>
      </c>
      <c r="N911" s="1098"/>
      <c r="O911" s="1098"/>
      <c r="P911" s="1098"/>
      <c r="Q911" s="1098"/>
      <c r="R911" s="1098">
        <f>+(M911/'Parametros Generales'!$C$9)</f>
        <v>0</v>
      </c>
      <c r="S911" s="395"/>
      <c r="T911" s="395"/>
      <c r="U911" s="395"/>
      <c r="V911" s="396"/>
      <c r="W911" s="376">
        <f>+R911*'Componentes T.H.'!$Q$9*'Parametros Generales'!$C$6</f>
        <v>0</v>
      </c>
      <c r="X911" s="376">
        <f>(+VLOOKUP(C911,'Transporte y Viaticos'!$B$87:$L$120,2,0)*'Parametros Generales'!$C$7*R911)*(2/3)</f>
        <v>0</v>
      </c>
      <c r="Y911" s="417"/>
      <c r="Z911" s="417"/>
      <c r="AA911" s="417"/>
      <c r="AB911" s="417">
        <f>+M911*'Parametros Generales'!$C$6*'Parametros Generales'!$J$9</f>
        <v>0</v>
      </c>
      <c r="AC911" s="417">
        <f>+H911*'Parametros Generales'!$J$10*'Parametros Generales'!$C$6*'Parametros Generales'!$C$11</f>
        <v>0</v>
      </c>
      <c r="AD911" s="417"/>
      <c r="AE911" s="417"/>
      <c r="AF911" s="417"/>
      <c r="AG911" s="417"/>
      <c r="AH911" s="417"/>
      <c r="AI911" s="417"/>
      <c r="AJ911" s="417"/>
      <c r="AK911" s="436"/>
      <c r="AL911" s="822"/>
    </row>
    <row r="912" spans="1:38" s="33" customFormat="1" hidden="1" outlineLevel="1">
      <c r="A912" s="1150"/>
      <c r="B912" s="823">
        <f t="shared" si="74"/>
        <v>66</v>
      </c>
      <c r="C912" s="373" t="str">
        <f t="shared" si="75"/>
        <v>RISARALDA</v>
      </c>
      <c r="D912" s="374"/>
      <c r="E912" s="1113"/>
      <c r="F912" s="1104"/>
      <c r="G912" s="375"/>
      <c r="H912" s="1062"/>
      <c r="I912" s="1057"/>
      <c r="J912" s="1058"/>
      <c r="K912" s="1070" t="str">
        <f t="shared" si="72"/>
        <v>Ok</v>
      </c>
      <c r="L912" s="1077">
        <f t="shared" si="73"/>
        <v>0</v>
      </c>
      <c r="M912" s="1091">
        <f>+H912/'Parametros Generales'!$C$8</f>
        <v>0</v>
      </c>
      <c r="N912" s="1098"/>
      <c r="O912" s="1098"/>
      <c r="P912" s="1098"/>
      <c r="Q912" s="1098"/>
      <c r="R912" s="1098">
        <f>+(M912/'Parametros Generales'!$C$9)</f>
        <v>0</v>
      </c>
      <c r="S912" s="395"/>
      <c r="T912" s="395"/>
      <c r="U912" s="395"/>
      <c r="V912" s="396"/>
      <c r="W912" s="376">
        <f>+R912*'Componentes T.H.'!$Q$9*'Parametros Generales'!$C$6</f>
        <v>0</v>
      </c>
      <c r="X912" s="376">
        <f>(+VLOOKUP(C912,'Transporte y Viaticos'!$B$87:$L$120,2,0)*'Parametros Generales'!$C$7*R912)*(2/3)</f>
        <v>0</v>
      </c>
      <c r="Y912" s="417"/>
      <c r="Z912" s="417"/>
      <c r="AA912" s="417"/>
      <c r="AB912" s="417">
        <f>+M912*'Parametros Generales'!$C$6*'Parametros Generales'!$J$9</f>
        <v>0</v>
      </c>
      <c r="AC912" s="417">
        <f>+H912*'Parametros Generales'!$J$10*'Parametros Generales'!$C$6*'Parametros Generales'!$C$11</f>
        <v>0</v>
      </c>
      <c r="AD912" s="417"/>
      <c r="AE912" s="417"/>
      <c r="AF912" s="417"/>
      <c r="AG912" s="417"/>
      <c r="AH912" s="417"/>
      <c r="AI912" s="417"/>
      <c r="AJ912" s="417"/>
      <c r="AK912" s="436"/>
      <c r="AL912" s="822"/>
    </row>
    <row r="913" spans="1:38" s="33" customFormat="1" hidden="1" outlineLevel="1">
      <c r="A913" s="1150"/>
      <c r="B913" s="823">
        <f t="shared" si="74"/>
        <v>66</v>
      </c>
      <c r="C913" s="373" t="str">
        <f t="shared" si="75"/>
        <v>RISARALDA</v>
      </c>
      <c r="D913" s="374"/>
      <c r="E913" s="1113"/>
      <c r="F913" s="1104"/>
      <c r="G913" s="375"/>
      <c r="H913" s="1062"/>
      <c r="I913" s="1057"/>
      <c r="J913" s="1058"/>
      <c r="K913" s="1070" t="str">
        <f t="shared" si="72"/>
        <v>Ok</v>
      </c>
      <c r="L913" s="1077">
        <f t="shared" si="73"/>
        <v>0</v>
      </c>
      <c r="M913" s="1091">
        <f>+H913/'Parametros Generales'!$C$8</f>
        <v>0</v>
      </c>
      <c r="N913" s="1098"/>
      <c r="O913" s="1098"/>
      <c r="P913" s="1098"/>
      <c r="Q913" s="1098"/>
      <c r="R913" s="1098">
        <f>+(M913/'Parametros Generales'!$C$9)</f>
        <v>0</v>
      </c>
      <c r="S913" s="395"/>
      <c r="T913" s="395"/>
      <c r="U913" s="395"/>
      <c r="V913" s="396"/>
      <c r="W913" s="376">
        <f>+R913*'Componentes T.H.'!$Q$9*'Parametros Generales'!$C$6</f>
        <v>0</v>
      </c>
      <c r="X913" s="376">
        <f>(+VLOOKUP(C913,'Transporte y Viaticos'!$B$87:$L$120,2,0)*'Parametros Generales'!$C$7*R913)*(2/3)</f>
        <v>0</v>
      </c>
      <c r="Y913" s="417"/>
      <c r="Z913" s="417"/>
      <c r="AA913" s="417"/>
      <c r="AB913" s="417">
        <f>+M913*'Parametros Generales'!$C$6*'Parametros Generales'!$J$9</f>
        <v>0</v>
      </c>
      <c r="AC913" s="417">
        <f>+H913*'Parametros Generales'!$J$10*'Parametros Generales'!$C$6*'Parametros Generales'!$C$11</f>
        <v>0</v>
      </c>
      <c r="AD913" s="417"/>
      <c r="AE913" s="417"/>
      <c r="AF913" s="417"/>
      <c r="AG913" s="417"/>
      <c r="AH913" s="417"/>
      <c r="AI913" s="417"/>
      <c r="AJ913" s="417"/>
      <c r="AK913" s="436"/>
      <c r="AL913" s="822"/>
    </row>
    <row r="914" spans="1:38" s="33" customFormat="1" hidden="1" outlineLevel="1">
      <c r="A914" s="1150"/>
      <c r="B914" s="823">
        <f t="shared" si="74"/>
        <v>66</v>
      </c>
      <c r="C914" s="373" t="str">
        <f t="shared" si="75"/>
        <v>RISARALDA</v>
      </c>
      <c r="D914" s="374"/>
      <c r="E914" s="1113"/>
      <c r="F914" s="1104"/>
      <c r="G914" s="375"/>
      <c r="H914" s="1062"/>
      <c r="I914" s="1057"/>
      <c r="J914" s="1058"/>
      <c r="K914" s="1070" t="str">
        <f t="shared" si="72"/>
        <v>Ok</v>
      </c>
      <c r="L914" s="1077">
        <f t="shared" si="73"/>
        <v>0</v>
      </c>
      <c r="M914" s="1091">
        <f>+H914/'Parametros Generales'!$C$8</f>
        <v>0</v>
      </c>
      <c r="N914" s="1098"/>
      <c r="O914" s="1098"/>
      <c r="P914" s="1098"/>
      <c r="Q914" s="1098"/>
      <c r="R914" s="1098">
        <f>+(M914/'Parametros Generales'!$C$9)</f>
        <v>0</v>
      </c>
      <c r="S914" s="395"/>
      <c r="T914" s="395"/>
      <c r="U914" s="395"/>
      <c r="V914" s="396"/>
      <c r="W914" s="376">
        <f>+R914*'Componentes T.H.'!$Q$9*'Parametros Generales'!$C$6</f>
        <v>0</v>
      </c>
      <c r="X914" s="376">
        <f>(+VLOOKUP(C914,'Transporte y Viaticos'!$B$87:$L$120,2,0)*'Parametros Generales'!$C$7*R914)*(2/3)</f>
        <v>0</v>
      </c>
      <c r="Y914" s="417"/>
      <c r="Z914" s="417"/>
      <c r="AA914" s="417"/>
      <c r="AB914" s="417">
        <f>+M914*'Parametros Generales'!$C$6*'Parametros Generales'!$J$9</f>
        <v>0</v>
      </c>
      <c r="AC914" s="417">
        <f>+H914*'Parametros Generales'!$J$10*'Parametros Generales'!$C$6*'Parametros Generales'!$C$11</f>
        <v>0</v>
      </c>
      <c r="AD914" s="417"/>
      <c r="AE914" s="417"/>
      <c r="AF914" s="417"/>
      <c r="AG914" s="417"/>
      <c r="AH914" s="417"/>
      <c r="AI914" s="417"/>
      <c r="AJ914" s="417"/>
      <c r="AK914" s="436"/>
      <c r="AL914" s="822"/>
    </row>
    <row r="915" spans="1:38" s="33" customFormat="1" hidden="1" outlineLevel="1">
      <c r="A915" s="1150"/>
      <c r="B915" s="823">
        <f t="shared" si="74"/>
        <v>66</v>
      </c>
      <c r="C915" s="373" t="str">
        <f t="shared" si="75"/>
        <v>RISARALDA</v>
      </c>
      <c r="D915" s="374"/>
      <c r="E915" s="1113"/>
      <c r="F915" s="1104"/>
      <c r="G915" s="375"/>
      <c r="H915" s="1062"/>
      <c r="I915" s="1057"/>
      <c r="J915" s="1058"/>
      <c r="K915" s="1070" t="str">
        <f t="shared" si="72"/>
        <v>Ok</v>
      </c>
      <c r="L915" s="1077">
        <f t="shared" si="73"/>
        <v>0</v>
      </c>
      <c r="M915" s="1091">
        <f>+H915/'Parametros Generales'!$C$8</f>
        <v>0</v>
      </c>
      <c r="N915" s="1098"/>
      <c r="O915" s="1098"/>
      <c r="P915" s="1098"/>
      <c r="Q915" s="1098"/>
      <c r="R915" s="1098">
        <f>+(M915/'Parametros Generales'!$C$9)</f>
        <v>0</v>
      </c>
      <c r="S915" s="395"/>
      <c r="T915" s="395"/>
      <c r="U915" s="395"/>
      <c r="V915" s="396"/>
      <c r="W915" s="376">
        <f>+R915*'Componentes T.H.'!$Q$9*'Parametros Generales'!$C$6</f>
        <v>0</v>
      </c>
      <c r="X915" s="376">
        <f>(+VLOOKUP(C915,'Transporte y Viaticos'!$B$87:$L$120,2,0)*'Parametros Generales'!$C$7*R915)*(2/3)</f>
        <v>0</v>
      </c>
      <c r="Y915" s="417"/>
      <c r="Z915" s="417"/>
      <c r="AA915" s="417"/>
      <c r="AB915" s="417">
        <f>+M915*'Parametros Generales'!$C$6*'Parametros Generales'!$J$9</f>
        <v>0</v>
      </c>
      <c r="AC915" s="417">
        <f>+H915*'Parametros Generales'!$J$10*'Parametros Generales'!$C$6*'Parametros Generales'!$C$11</f>
        <v>0</v>
      </c>
      <c r="AD915" s="417"/>
      <c r="AE915" s="417"/>
      <c r="AF915" s="417"/>
      <c r="AG915" s="417"/>
      <c r="AH915" s="417"/>
      <c r="AI915" s="417"/>
      <c r="AJ915" s="417"/>
      <c r="AK915" s="436"/>
      <c r="AL915" s="822"/>
    </row>
    <row r="916" spans="1:38" s="33" customFormat="1" hidden="1" outlineLevel="1">
      <c r="A916" s="1150"/>
      <c r="B916" s="823">
        <f t="shared" si="74"/>
        <v>66</v>
      </c>
      <c r="C916" s="373" t="str">
        <f t="shared" si="75"/>
        <v>RISARALDA</v>
      </c>
      <c r="D916" s="374"/>
      <c r="E916" s="1113"/>
      <c r="F916" s="1104"/>
      <c r="G916" s="375"/>
      <c r="H916" s="1062"/>
      <c r="I916" s="1057"/>
      <c r="J916" s="1058"/>
      <c r="K916" s="1070" t="str">
        <f t="shared" si="72"/>
        <v>Ok</v>
      </c>
      <c r="L916" s="1077">
        <f t="shared" si="73"/>
        <v>0</v>
      </c>
      <c r="M916" s="1091">
        <f>+H916/'Parametros Generales'!$C$8</f>
        <v>0</v>
      </c>
      <c r="N916" s="1098"/>
      <c r="O916" s="1098"/>
      <c r="P916" s="1098"/>
      <c r="Q916" s="1098"/>
      <c r="R916" s="1098">
        <f>+(M916/'Parametros Generales'!$C$9)</f>
        <v>0</v>
      </c>
      <c r="S916" s="395"/>
      <c r="T916" s="395"/>
      <c r="U916" s="395"/>
      <c r="V916" s="396"/>
      <c r="W916" s="376">
        <f>+R916*'Componentes T.H.'!$Q$9*'Parametros Generales'!$C$6</f>
        <v>0</v>
      </c>
      <c r="X916" s="376">
        <f>(+VLOOKUP(C916,'Transporte y Viaticos'!$B$87:$L$120,2,0)*'Parametros Generales'!$C$7*R916)*(2/3)</f>
        <v>0</v>
      </c>
      <c r="Y916" s="417"/>
      <c r="Z916" s="417"/>
      <c r="AA916" s="417"/>
      <c r="AB916" s="417">
        <f>+M916*'Parametros Generales'!$C$6*'Parametros Generales'!$J$9</f>
        <v>0</v>
      </c>
      <c r="AC916" s="417">
        <f>+H916*'Parametros Generales'!$J$10*'Parametros Generales'!$C$6*'Parametros Generales'!$C$11</f>
        <v>0</v>
      </c>
      <c r="AD916" s="417"/>
      <c r="AE916" s="417"/>
      <c r="AF916" s="417"/>
      <c r="AG916" s="417"/>
      <c r="AH916" s="417"/>
      <c r="AI916" s="417"/>
      <c r="AJ916" s="417"/>
      <c r="AK916" s="436"/>
      <c r="AL916" s="822"/>
    </row>
    <row r="917" spans="1:38" s="33" customFormat="1" hidden="1" outlineLevel="1">
      <c r="A917" s="1150"/>
      <c r="B917" s="823">
        <f t="shared" si="74"/>
        <v>66</v>
      </c>
      <c r="C917" s="373" t="str">
        <f t="shared" si="75"/>
        <v>RISARALDA</v>
      </c>
      <c r="D917" s="374"/>
      <c r="E917" s="1113"/>
      <c r="F917" s="1104"/>
      <c r="G917" s="375"/>
      <c r="H917" s="1062"/>
      <c r="I917" s="1057"/>
      <c r="J917" s="1058"/>
      <c r="K917" s="1070" t="str">
        <f t="shared" si="72"/>
        <v>Ok</v>
      </c>
      <c r="L917" s="1077">
        <f t="shared" si="73"/>
        <v>0</v>
      </c>
      <c r="M917" s="1091">
        <f>+H917/'Parametros Generales'!$C$8</f>
        <v>0</v>
      </c>
      <c r="N917" s="1098"/>
      <c r="O917" s="1098"/>
      <c r="P917" s="1098"/>
      <c r="Q917" s="1098"/>
      <c r="R917" s="1098">
        <f>+(M917/'Parametros Generales'!$C$9)</f>
        <v>0</v>
      </c>
      <c r="S917" s="395"/>
      <c r="T917" s="395"/>
      <c r="U917" s="395"/>
      <c r="V917" s="396"/>
      <c r="W917" s="376">
        <f>+R917*'Componentes T.H.'!$Q$9*'Parametros Generales'!$C$6</f>
        <v>0</v>
      </c>
      <c r="X917" s="376">
        <f>(+VLOOKUP(C917,'Transporte y Viaticos'!$B$87:$L$120,2,0)*'Parametros Generales'!$C$7*R917)*(2/3)</f>
        <v>0</v>
      </c>
      <c r="Y917" s="417"/>
      <c r="Z917" s="417"/>
      <c r="AA917" s="417"/>
      <c r="AB917" s="417">
        <f>+M917*'Parametros Generales'!$C$6*'Parametros Generales'!$J$9</f>
        <v>0</v>
      </c>
      <c r="AC917" s="417">
        <f>+H917*'Parametros Generales'!$J$10*'Parametros Generales'!$C$6*'Parametros Generales'!$C$11</f>
        <v>0</v>
      </c>
      <c r="AD917" s="417"/>
      <c r="AE917" s="417"/>
      <c r="AF917" s="417"/>
      <c r="AG917" s="417"/>
      <c r="AH917" s="417"/>
      <c r="AI917" s="417"/>
      <c r="AJ917" s="417"/>
      <c r="AK917" s="436"/>
      <c r="AL917" s="822"/>
    </row>
    <row r="918" spans="1:38" s="33" customFormat="1" hidden="1" outlineLevel="1">
      <c r="A918" s="1150"/>
      <c r="B918" s="823">
        <f t="shared" si="74"/>
        <v>66</v>
      </c>
      <c r="C918" s="373" t="str">
        <f t="shared" si="75"/>
        <v>RISARALDA</v>
      </c>
      <c r="D918" s="374"/>
      <c r="E918" s="1113"/>
      <c r="F918" s="1104"/>
      <c r="G918" s="375"/>
      <c r="H918" s="1062"/>
      <c r="I918" s="1057"/>
      <c r="J918" s="1058"/>
      <c r="K918" s="1070" t="str">
        <f t="shared" si="72"/>
        <v>Ok</v>
      </c>
      <c r="L918" s="1077">
        <f t="shared" si="73"/>
        <v>0</v>
      </c>
      <c r="M918" s="1091">
        <f>+H918/'Parametros Generales'!$C$8</f>
        <v>0</v>
      </c>
      <c r="N918" s="1098"/>
      <c r="O918" s="1098"/>
      <c r="P918" s="1098"/>
      <c r="Q918" s="1098"/>
      <c r="R918" s="1098">
        <f>+(M918/'Parametros Generales'!$C$9)</f>
        <v>0</v>
      </c>
      <c r="S918" s="395"/>
      <c r="T918" s="395"/>
      <c r="U918" s="395"/>
      <c r="V918" s="396"/>
      <c r="W918" s="376">
        <f>+R918*'Componentes T.H.'!$Q$9*'Parametros Generales'!$C$6</f>
        <v>0</v>
      </c>
      <c r="X918" s="376">
        <f>(+VLOOKUP(C918,'Transporte y Viaticos'!$B$87:$L$120,2,0)*'Parametros Generales'!$C$7*R918)*(2/3)</f>
        <v>0</v>
      </c>
      <c r="Y918" s="417"/>
      <c r="Z918" s="417"/>
      <c r="AA918" s="417"/>
      <c r="AB918" s="417">
        <f>+M918*'Parametros Generales'!$C$6*'Parametros Generales'!$J$9</f>
        <v>0</v>
      </c>
      <c r="AC918" s="417">
        <f>+H918*'Parametros Generales'!$J$10*'Parametros Generales'!$C$6*'Parametros Generales'!$C$11</f>
        <v>0</v>
      </c>
      <c r="AD918" s="417"/>
      <c r="AE918" s="417"/>
      <c r="AF918" s="417"/>
      <c r="AG918" s="417"/>
      <c r="AH918" s="417"/>
      <c r="AI918" s="417"/>
      <c r="AJ918" s="417"/>
      <c r="AK918" s="436"/>
      <c r="AL918" s="822"/>
    </row>
    <row r="919" spans="1:38" s="392" customFormat="1" collapsed="1">
      <c r="A919" s="1151">
        <v>22</v>
      </c>
      <c r="B919" s="824">
        <v>68</v>
      </c>
      <c r="C919" s="385" t="s">
        <v>581</v>
      </c>
      <c r="D919" s="386"/>
      <c r="E919" s="1114" t="s">
        <v>581</v>
      </c>
      <c r="F919" s="1105">
        <f>SUM(F920:F941)</f>
        <v>22</v>
      </c>
      <c r="G919" s="388">
        <f>+SUM(G920:G941)</f>
        <v>6138</v>
      </c>
      <c r="H919" s="512">
        <f>+SUM(H920:H952)</f>
        <v>6050</v>
      </c>
      <c r="I919" s="1057" t="s">
        <v>581</v>
      </c>
      <c r="J919" s="1067">
        <v>6050</v>
      </c>
      <c r="K919" s="1069" t="str">
        <f t="shared" si="72"/>
        <v>Ok</v>
      </c>
      <c r="L919" s="1077">
        <f t="shared" si="73"/>
        <v>0</v>
      </c>
      <c r="M919" s="512">
        <f>+SUM(M920:M952)</f>
        <v>242</v>
      </c>
      <c r="N919" s="1073">
        <f>+VLOOKUP(H919,'Parametros Generales'!$B$14:$D$17,3,TRUE)</f>
        <v>0.8</v>
      </c>
      <c r="O919" s="1073">
        <f>+VLOOKUP(H919,'Parametros Generales'!$B$14:$D$17,3,TRUE)</f>
        <v>0.8</v>
      </c>
      <c r="P919" s="1073">
        <f>+VLOOKUP(H919,'Parametros Generales'!$B$14:$D$17,3,TRUE)</f>
        <v>0.8</v>
      </c>
      <c r="Q919" s="1073">
        <f>+R919/'Parametros Generales'!$C$10</f>
        <v>7.5625</v>
      </c>
      <c r="R919" s="512">
        <f>+SUM(R920:R952)</f>
        <v>60.5</v>
      </c>
      <c r="S919" s="390">
        <f>+VLOOKUP(S$1,'Componentes T.H.'!$B$4:$R$22,'Componentes T.H.'!$Q$1,0)*'Parametros Generales'!$C$6*'Cost x Depart'!N919</f>
        <v>11725411.310133336</v>
      </c>
      <c r="T919" s="390">
        <f>+VLOOKUP(T$1,'Componentes T.H.'!$B$4:$R$22,'Componentes T.H.'!$Q$1,0)*'Parametros Generales'!$C$6*'Cost x Depart'!O919</f>
        <v>8835052.5272000004</v>
      </c>
      <c r="U919" s="390">
        <f>+VLOOKUP(U$1,'Componentes T.H.'!$B$4:$R$22,'Componentes T.H.'!$Q$1,0)*'Parametros Generales'!$C$6*'Cost x Depart'!P919</f>
        <v>3912345.6000000001</v>
      </c>
      <c r="V919" s="389">
        <f>+VLOOKUP(V$1,'Componentes T.H.'!$B$4:$R$22,'Componentes T.H.'!$Q$1,0)*'Parametros Generales'!$C$6*'Cost x Depart'!Q919</f>
        <v>75557296.978395835</v>
      </c>
      <c r="W919" s="512">
        <f>+SUM(W920:W952)</f>
        <v>303619677.79549998</v>
      </c>
      <c r="X919" s="512">
        <f>+SUM(X920:X952)</f>
        <v>47095526.517850928</v>
      </c>
      <c r="Y919" s="391">
        <f>+VLOOKUP(C920,'Transporte y Viaticos'!$B$87:$F$120,2,0)*((O919/'Parametros Generales'!$J$14)+(Q919/'Parametros Generales'!$J$15)+(R919/'Parametros Generales'!$J$16))*'Parametros Generales'!$C$6</f>
        <v>2254309.1128146928</v>
      </c>
      <c r="Z919" s="391">
        <f>+(N919+O919+Q919)*'Parametros Generales'!$C$6*'Parametros Generales'!$J$7</f>
        <v>1801530.75</v>
      </c>
      <c r="AA919" s="391">
        <f>+SUM(N919:R919)*'Parametros Generales'!$C$6*'Parametros Generales'!$J$8</f>
        <v>12648018.75</v>
      </c>
      <c r="AB919" s="512">
        <f>+SUM(AB920:AB952)</f>
        <v>117832000.00000009</v>
      </c>
      <c r="AC919" s="512">
        <f>+SUM(AC920:AC952)</f>
        <v>445839587.71389931</v>
      </c>
      <c r="AD919" s="391">
        <f>+'Parametros Generales'!$J$11*SUM(N919:R919)</f>
        <v>2370358.5</v>
      </c>
      <c r="AE919" s="436">
        <f>+SUM(S919:AD919)</f>
        <v>1033491115.5557942</v>
      </c>
      <c r="AF919" s="391">
        <f>+AE919*(SUM('Res de Costos Pais'!G117:G117))</f>
        <v>70794141.415571913</v>
      </c>
      <c r="AG919" s="391">
        <f>+AE919+AF919</f>
        <v>1104285256.9713662</v>
      </c>
      <c r="AH919" s="391">
        <f>+AG919*SUM('Res de Costos Pais'!$G$123:$G$124)</f>
        <v>10667395.582343398</v>
      </c>
      <c r="AI919" s="391">
        <f>+(AG919+AH919)*'Res de Costos Pais'!$G$136</f>
        <v>3010372.1618950157</v>
      </c>
      <c r="AJ919" s="391">
        <f>+(AG919+AH919+AI919)*'Res de Costos Pais'!$G$140</f>
        <v>4471852.098862418</v>
      </c>
      <c r="AK919" s="391">
        <f>+AG919+AH919+AI919+AJ919</f>
        <v>1122434876.814467</v>
      </c>
      <c r="AL919" s="820">
        <f>IF(ISERROR((+(AK919/H919)/'Parametros Generales'!$C$6)),0,(+(AK919/H919)/'Parametros Generales'!$C$6))</f>
        <v>37105.285183949323</v>
      </c>
    </row>
    <row r="920" spans="1:38" s="33" customFormat="1" hidden="1" outlineLevel="1">
      <c r="A920" s="1150"/>
      <c r="B920" s="819">
        <v>68</v>
      </c>
      <c r="C920" s="377" t="s">
        <v>581</v>
      </c>
      <c r="D920" s="378">
        <f>+VLOOKUP(E920,Codigos!$A$1:$B$1123,2,0)</f>
        <v>68001</v>
      </c>
      <c r="E920" s="1110" t="s">
        <v>2159</v>
      </c>
      <c r="F920" s="1102">
        <v>1</v>
      </c>
      <c r="G920" s="379">
        <v>1782</v>
      </c>
      <c r="H920" s="1060">
        <f>CEILING(G920,'Parametros Generales'!$C$8)</f>
        <v>1800</v>
      </c>
      <c r="I920" s="1057" t="s">
        <v>582</v>
      </c>
      <c r="J920" s="1058">
        <v>1800</v>
      </c>
      <c r="K920" s="1070" t="str">
        <f t="shared" si="72"/>
        <v>Ok</v>
      </c>
      <c r="L920" s="1077">
        <f t="shared" si="73"/>
        <v>0</v>
      </c>
      <c r="M920" s="1089">
        <f>+H920/'Parametros Generales'!$C$8</f>
        <v>72</v>
      </c>
      <c r="N920" s="1096"/>
      <c r="O920" s="1096"/>
      <c r="P920" s="1096"/>
      <c r="Q920" s="1096"/>
      <c r="R920" s="1096">
        <f>+(M920/'Parametros Generales'!$C$9)</f>
        <v>18</v>
      </c>
      <c r="S920" s="393"/>
      <c r="T920" s="393"/>
      <c r="U920" s="393"/>
      <c r="V920" s="394"/>
      <c r="W920" s="380">
        <f>+R920*'Componentes T.H.'!$Q$9*'Parametros Generales'!$C$6</f>
        <v>90333127.277999997</v>
      </c>
      <c r="X920" s="380">
        <f>(+VLOOKUP(C920,'Transporte y Viaticos'!$B$87:$L$120,2,0)*'Parametros Generales'!$C$7*R920)*(2/3)</f>
        <v>14011892.187129201</v>
      </c>
      <c r="Y920" s="417"/>
      <c r="Z920" s="417"/>
      <c r="AA920" s="417"/>
      <c r="AB920" s="417">
        <f>+M920*'Parametros Generales'!$C$6*'Parametros Generales'!$J$9</f>
        <v>35057454.545454554</v>
      </c>
      <c r="AC920" s="417">
        <f>+H920*'Parametros Generales'!$J$10*'Parametros Generales'!$C$6*'Parametros Generales'!$C$11</f>
        <v>132646488.90661463</v>
      </c>
      <c r="AD920" s="417"/>
      <c r="AE920" s="417"/>
      <c r="AF920" s="417"/>
      <c r="AG920" s="417"/>
      <c r="AH920" s="417"/>
      <c r="AI920" s="417"/>
      <c r="AJ920" s="417"/>
      <c r="AK920" s="436"/>
      <c r="AL920" s="822"/>
    </row>
    <row r="921" spans="1:38" s="33" customFormat="1" hidden="1" outlineLevel="1">
      <c r="A921" s="1150"/>
      <c r="B921" s="821">
        <v>68</v>
      </c>
      <c r="C921" s="371" t="s">
        <v>581</v>
      </c>
      <c r="D921" s="31">
        <f>+VLOOKUP(E921,Codigos!$A$1:$B$1123,2,0)</f>
        <v>68077</v>
      </c>
      <c r="E921" s="1111" t="s">
        <v>2160</v>
      </c>
      <c r="F921" s="1103">
        <v>1</v>
      </c>
      <c r="G921" s="30">
        <v>396</v>
      </c>
      <c r="H921" s="1061">
        <f>CEILING(G921,'Parametros Generales'!$C$8)</f>
        <v>400</v>
      </c>
      <c r="I921" s="1057" t="s">
        <v>583</v>
      </c>
      <c r="J921" s="1058">
        <v>400</v>
      </c>
      <c r="K921" s="1070" t="str">
        <f t="shared" si="72"/>
        <v>Ok</v>
      </c>
      <c r="L921" s="1077">
        <f t="shared" si="73"/>
        <v>0</v>
      </c>
      <c r="M921" s="1090">
        <f>+H921/'Parametros Generales'!$C$8</f>
        <v>16</v>
      </c>
      <c r="N921" s="1097"/>
      <c r="O921" s="1097"/>
      <c r="P921" s="1097"/>
      <c r="Q921" s="1097"/>
      <c r="R921" s="1097">
        <f>+(M921/'Parametros Generales'!$C$9)</f>
        <v>4</v>
      </c>
      <c r="S921" s="390"/>
      <c r="T921" s="390"/>
      <c r="U921" s="390"/>
      <c r="V921" s="389"/>
      <c r="W921" s="32">
        <f>+R921*'Componentes T.H.'!$Q$9*'Parametros Generales'!$C$6</f>
        <v>20074028.284000002</v>
      </c>
      <c r="X921" s="32">
        <f>(+VLOOKUP(C921,'Transporte y Viaticos'!$B$87:$L$120,2,0)*'Parametros Generales'!$C$7*R921)*(2/3)</f>
        <v>3113753.8193620448</v>
      </c>
      <c r="Y921" s="417"/>
      <c r="Z921" s="417"/>
      <c r="AA921" s="417"/>
      <c r="AB921" s="417">
        <f>+M921*'Parametros Generales'!$C$6*'Parametros Generales'!$J$9</f>
        <v>7790545.4545454569</v>
      </c>
      <c r="AC921" s="417">
        <f>+H921*'Parametros Generales'!$J$10*'Parametros Generales'!$C$6*'Parametros Generales'!$C$11</f>
        <v>29476997.534803249</v>
      </c>
      <c r="AD921" s="417"/>
      <c r="AE921" s="417"/>
      <c r="AF921" s="417"/>
      <c r="AG921" s="417"/>
      <c r="AH921" s="417"/>
      <c r="AI921" s="417"/>
      <c r="AJ921" s="417"/>
      <c r="AK921" s="436"/>
      <c r="AL921" s="822"/>
    </row>
    <row r="922" spans="1:38" s="33" customFormat="1" hidden="1" outlineLevel="1">
      <c r="A922" s="1150"/>
      <c r="B922" s="821">
        <v>68</v>
      </c>
      <c r="C922" s="371" t="s">
        <v>581</v>
      </c>
      <c r="D922" s="31">
        <f>+VLOOKUP(E922,Codigos!$A$1:$B$1123,2,0)</f>
        <v>68079</v>
      </c>
      <c r="E922" s="1111" t="s">
        <v>2161</v>
      </c>
      <c r="F922" s="1103">
        <v>1</v>
      </c>
      <c r="G922" s="30">
        <v>198</v>
      </c>
      <c r="H922" s="1061">
        <f>CEILING(G922,'Parametros Generales'!$C$8)</f>
        <v>200</v>
      </c>
      <c r="I922" s="1057" t="s">
        <v>584</v>
      </c>
      <c r="J922" s="1058">
        <v>200</v>
      </c>
      <c r="K922" s="1070" t="str">
        <f t="shared" si="72"/>
        <v>Ok</v>
      </c>
      <c r="L922" s="1076">
        <f t="shared" si="73"/>
        <v>0</v>
      </c>
      <c r="M922" s="1090">
        <f>+H922/'Parametros Generales'!$C$8</f>
        <v>8</v>
      </c>
      <c r="N922" s="1097"/>
      <c r="O922" s="1097"/>
      <c r="P922" s="1097"/>
      <c r="Q922" s="1097"/>
      <c r="R922" s="1097">
        <f>+(M922/'Parametros Generales'!$C$9)</f>
        <v>2</v>
      </c>
      <c r="S922" s="390"/>
      <c r="T922" s="390"/>
      <c r="U922" s="390"/>
      <c r="V922" s="389"/>
      <c r="W922" s="32">
        <f>+R922*'Componentes T.H.'!$Q$9*'Parametros Generales'!$C$6</f>
        <v>10037014.142000001</v>
      </c>
      <c r="X922" s="32">
        <f>(+VLOOKUP(C922,'Transporte y Viaticos'!$B$87:$L$120,2,0)*'Parametros Generales'!$C$7*R922)*(2/3)</f>
        <v>1556876.9096810224</v>
      </c>
      <c r="Y922" s="417"/>
      <c r="Z922" s="417"/>
      <c r="AA922" s="417"/>
      <c r="AB922" s="417">
        <f>+M922*'Parametros Generales'!$C$6*'Parametros Generales'!$J$9</f>
        <v>3895272.7272727285</v>
      </c>
      <c r="AC922" s="417">
        <f>+H922*'Parametros Generales'!$J$10*'Parametros Generales'!$C$6*'Parametros Generales'!$C$11</f>
        <v>14738498.767401624</v>
      </c>
      <c r="AD922" s="417"/>
      <c r="AE922" s="417"/>
      <c r="AF922" s="417"/>
      <c r="AG922" s="417"/>
      <c r="AH922" s="417"/>
      <c r="AI922" s="417"/>
      <c r="AJ922" s="417"/>
      <c r="AK922" s="436"/>
      <c r="AL922" s="822"/>
    </row>
    <row r="923" spans="1:38" s="33" customFormat="1" hidden="1" outlineLevel="1">
      <c r="A923" s="1150"/>
      <c r="B923" s="821">
        <v>68</v>
      </c>
      <c r="C923" s="371" t="s">
        <v>581</v>
      </c>
      <c r="D923" s="31">
        <f>+VLOOKUP(E923,Codigos!$A$1:$B$1123,2,0)</f>
        <v>68081</v>
      </c>
      <c r="E923" s="1111" t="s">
        <v>2162</v>
      </c>
      <c r="F923" s="1103">
        <v>1</v>
      </c>
      <c r="G923" s="30">
        <v>198</v>
      </c>
      <c r="H923" s="1061">
        <f>CEILING((G923-50),'Parametros Generales'!$C$8)</f>
        <v>150</v>
      </c>
      <c r="I923" s="1057" t="s">
        <v>585</v>
      </c>
      <c r="J923" s="1058">
        <v>150</v>
      </c>
      <c r="K923" s="1070" t="str">
        <f t="shared" si="72"/>
        <v>Ok</v>
      </c>
      <c r="L923" s="1077">
        <f t="shared" si="73"/>
        <v>0</v>
      </c>
      <c r="M923" s="1090">
        <f>+H923/'Parametros Generales'!$C$8</f>
        <v>6</v>
      </c>
      <c r="N923" s="1097"/>
      <c r="O923" s="1097"/>
      <c r="P923" s="1097"/>
      <c r="Q923" s="1097"/>
      <c r="R923" s="1097">
        <f>+(M923/'Parametros Generales'!$C$9)</f>
        <v>1.5</v>
      </c>
      <c r="S923" s="390"/>
      <c r="T923" s="390"/>
      <c r="U923" s="390"/>
      <c r="V923" s="389"/>
      <c r="W923" s="32">
        <f>+R923*'Componentes T.H.'!$Q$9*'Parametros Generales'!$C$6</f>
        <v>7527760.6064999998</v>
      </c>
      <c r="X923" s="32">
        <f>(+VLOOKUP(C923,'Transporte y Viaticos'!$B$87:$L$120,2,0)*'Parametros Generales'!$C$7*R923)*(2/3)</f>
        <v>1167657.6822607669</v>
      </c>
      <c r="Y923" s="417"/>
      <c r="Z923" s="417"/>
      <c r="AA923" s="417"/>
      <c r="AB923" s="417">
        <f>+M923*'Parametros Generales'!$C$6*'Parametros Generales'!$J$9</f>
        <v>2921454.5454545463</v>
      </c>
      <c r="AC923" s="417">
        <f>+H923*'Parametros Generales'!$J$10*'Parametros Generales'!$C$6*'Parametros Generales'!$C$11</f>
        <v>11053874.075551221</v>
      </c>
      <c r="AD923" s="417"/>
      <c r="AE923" s="417"/>
      <c r="AF923" s="417"/>
      <c r="AG923" s="417"/>
      <c r="AH923" s="417"/>
      <c r="AI923" s="417"/>
      <c r="AJ923" s="417"/>
      <c r="AK923" s="436"/>
      <c r="AL923" s="822"/>
    </row>
    <row r="924" spans="1:38" s="33" customFormat="1" hidden="1" outlineLevel="1">
      <c r="A924" s="1150"/>
      <c r="B924" s="821">
        <v>68</v>
      </c>
      <c r="C924" s="371" t="s">
        <v>581</v>
      </c>
      <c r="D924" s="31">
        <f>+VLOOKUP(E924,Codigos!$A$1:$B$1123,2,0)</f>
        <v>68167</v>
      </c>
      <c r="E924" s="1111" t="s">
        <v>2163</v>
      </c>
      <c r="F924" s="1103">
        <v>1</v>
      </c>
      <c r="G924" s="30">
        <v>198</v>
      </c>
      <c r="H924" s="1061">
        <f>CEILING(G924,'Parametros Generales'!$C$8)</f>
        <v>200</v>
      </c>
      <c r="I924" s="1057" t="s">
        <v>586</v>
      </c>
      <c r="J924" s="1058">
        <v>200</v>
      </c>
      <c r="K924" s="1070" t="str">
        <f t="shared" si="72"/>
        <v>Ok</v>
      </c>
      <c r="L924" s="1077">
        <f t="shared" si="73"/>
        <v>0</v>
      </c>
      <c r="M924" s="1090">
        <f>+H924/'Parametros Generales'!$C$8</f>
        <v>8</v>
      </c>
      <c r="N924" s="1097"/>
      <c r="O924" s="1097"/>
      <c r="P924" s="1097"/>
      <c r="Q924" s="1097"/>
      <c r="R924" s="1097">
        <f>+(M924/'Parametros Generales'!$C$9)</f>
        <v>2</v>
      </c>
      <c r="S924" s="390"/>
      <c r="T924" s="390"/>
      <c r="U924" s="390"/>
      <c r="V924" s="389"/>
      <c r="W924" s="32">
        <f>+R924*'Componentes T.H.'!$Q$9*'Parametros Generales'!$C$6</f>
        <v>10037014.142000001</v>
      </c>
      <c r="X924" s="32">
        <f>(+VLOOKUP(C924,'Transporte y Viaticos'!$B$87:$L$120,2,0)*'Parametros Generales'!$C$7*R924)*(2/3)</f>
        <v>1556876.9096810224</v>
      </c>
      <c r="Y924" s="417"/>
      <c r="Z924" s="417"/>
      <c r="AA924" s="417"/>
      <c r="AB924" s="417">
        <f>+M924*'Parametros Generales'!$C$6*'Parametros Generales'!$J$9</f>
        <v>3895272.7272727285</v>
      </c>
      <c r="AC924" s="417">
        <f>+H924*'Parametros Generales'!$J$10*'Parametros Generales'!$C$6*'Parametros Generales'!$C$11</f>
        <v>14738498.767401624</v>
      </c>
      <c r="AD924" s="417"/>
      <c r="AE924" s="417"/>
      <c r="AF924" s="417"/>
      <c r="AG924" s="417"/>
      <c r="AH924" s="417"/>
      <c r="AI924" s="417"/>
      <c r="AJ924" s="417"/>
      <c r="AK924" s="436"/>
      <c r="AL924" s="822"/>
    </row>
    <row r="925" spans="1:38" s="33" customFormat="1" hidden="1" outlineLevel="1">
      <c r="A925" s="1150"/>
      <c r="B925" s="821">
        <v>68</v>
      </c>
      <c r="C925" s="371" t="s">
        <v>581</v>
      </c>
      <c r="D925" s="31">
        <f>+VLOOKUP(E925,Codigos!$A$1:$B$1123,2,0)</f>
        <v>68190</v>
      </c>
      <c r="E925" s="1111" t="s">
        <v>2164</v>
      </c>
      <c r="F925" s="1103">
        <v>1</v>
      </c>
      <c r="G925" s="30">
        <v>198</v>
      </c>
      <c r="H925" s="1061">
        <f>CEILING(G925,'Parametros Generales'!$C$8)</f>
        <v>200</v>
      </c>
      <c r="I925" s="1057" t="s">
        <v>587</v>
      </c>
      <c r="J925" s="1058">
        <v>200</v>
      </c>
      <c r="K925" s="1070" t="str">
        <f t="shared" si="72"/>
        <v>Ok</v>
      </c>
      <c r="L925" s="1077">
        <f t="shared" si="73"/>
        <v>0</v>
      </c>
      <c r="M925" s="1090">
        <f>+H925/'Parametros Generales'!$C$8</f>
        <v>8</v>
      </c>
      <c r="N925" s="1097"/>
      <c r="O925" s="1097"/>
      <c r="P925" s="1097"/>
      <c r="Q925" s="1097"/>
      <c r="R925" s="1097">
        <f>+(M925/'Parametros Generales'!$C$9)</f>
        <v>2</v>
      </c>
      <c r="S925" s="390"/>
      <c r="T925" s="390"/>
      <c r="U925" s="390"/>
      <c r="V925" s="389"/>
      <c r="W925" s="32">
        <f>+R925*'Componentes T.H.'!$Q$9*'Parametros Generales'!$C$6</f>
        <v>10037014.142000001</v>
      </c>
      <c r="X925" s="32">
        <f>(+VLOOKUP(C925,'Transporte y Viaticos'!$B$87:$L$120,2,0)*'Parametros Generales'!$C$7*R925)*(2/3)</f>
        <v>1556876.9096810224</v>
      </c>
      <c r="Y925" s="417"/>
      <c r="Z925" s="417"/>
      <c r="AA925" s="417"/>
      <c r="AB925" s="417">
        <f>+M925*'Parametros Generales'!$C$6*'Parametros Generales'!$J$9</f>
        <v>3895272.7272727285</v>
      </c>
      <c r="AC925" s="417">
        <f>+H925*'Parametros Generales'!$J$10*'Parametros Generales'!$C$6*'Parametros Generales'!$C$11</f>
        <v>14738498.767401624</v>
      </c>
      <c r="AD925" s="417"/>
      <c r="AE925" s="417"/>
      <c r="AF925" s="417"/>
      <c r="AG925" s="417"/>
      <c r="AH925" s="417"/>
      <c r="AI925" s="417"/>
      <c r="AJ925" s="417"/>
      <c r="AK925" s="436"/>
      <c r="AL925" s="822"/>
    </row>
    <row r="926" spans="1:38" s="33" customFormat="1" hidden="1" outlineLevel="1">
      <c r="A926" s="1150"/>
      <c r="B926" s="821">
        <v>68</v>
      </c>
      <c r="C926" s="371" t="s">
        <v>581</v>
      </c>
      <c r="D926" s="31">
        <f>+VLOOKUP(E926,Codigos!$A$1:$B$1123,2,0)</f>
        <v>68276</v>
      </c>
      <c r="E926" s="1111" t="s">
        <v>2165</v>
      </c>
      <c r="F926" s="1103">
        <v>1</v>
      </c>
      <c r="G926" s="30">
        <v>198</v>
      </c>
      <c r="H926" s="1061">
        <f>CEILING(G926,'Parametros Generales'!$C$8)</f>
        <v>200</v>
      </c>
      <c r="I926" s="1057" t="s">
        <v>588</v>
      </c>
      <c r="J926" s="1058">
        <v>200</v>
      </c>
      <c r="K926" s="1070" t="str">
        <f t="shared" si="72"/>
        <v>Ok</v>
      </c>
      <c r="L926" s="1077">
        <f t="shared" si="73"/>
        <v>0</v>
      </c>
      <c r="M926" s="1090">
        <f>+H926/'Parametros Generales'!$C$8</f>
        <v>8</v>
      </c>
      <c r="N926" s="1097"/>
      <c r="O926" s="1097"/>
      <c r="P926" s="1097"/>
      <c r="Q926" s="1097"/>
      <c r="R926" s="1097">
        <f>+(M926/'Parametros Generales'!$C$9)</f>
        <v>2</v>
      </c>
      <c r="S926" s="390"/>
      <c r="T926" s="390"/>
      <c r="U926" s="390"/>
      <c r="V926" s="389"/>
      <c r="W926" s="32">
        <f>+R926*'Componentes T.H.'!$Q$9*'Parametros Generales'!$C$6</f>
        <v>10037014.142000001</v>
      </c>
      <c r="X926" s="32">
        <f>(+VLOOKUP(C926,'Transporte y Viaticos'!$B$87:$L$120,2,0)*'Parametros Generales'!$C$7*R926)*(2/3)</f>
        <v>1556876.9096810224</v>
      </c>
      <c r="Y926" s="417"/>
      <c r="Z926" s="417"/>
      <c r="AA926" s="417"/>
      <c r="AB926" s="417">
        <f>+M926*'Parametros Generales'!$C$6*'Parametros Generales'!$J$9</f>
        <v>3895272.7272727285</v>
      </c>
      <c r="AC926" s="417">
        <f>+H926*'Parametros Generales'!$J$10*'Parametros Generales'!$C$6*'Parametros Generales'!$C$11</f>
        <v>14738498.767401624</v>
      </c>
      <c r="AD926" s="417"/>
      <c r="AE926" s="417"/>
      <c r="AF926" s="417"/>
      <c r="AG926" s="417"/>
      <c r="AH926" s="417"/>
      <c r="AI926" s="417"/>
      <c r="AJ926" s="417"/>
      <c r="AK926" s="436"/>
      <c r="AL926" s="822"/>
    </row>
    <row r="927" spans="1:38" s="33" customFormat="1" hidden="1" outlineLevel="1">
      <c r="A927" s="1150"/>
      <c r="B927" s="821">
        <v>68</v>
      </c>
      <c r="C927" s="371" t="s">
        <v>581</v>
      </c>
      <c r="D927" s="31">
        <f>+VLOOKUP(E927,Codigos!$A$1:$B$1123,2,0)</f>
        <v>68307</v>
      </c>
      <c r="E927" s="1111" t="s">
        <v>2166</v>
      </c>
      <c r="F927" s="1103">
        <v>1</v>
      </c>
      <c r="G927" s="30">
        <v>198</v>
      </c>
      <c r="H927" s="1061">
        <f>CEILING(G927,'Parametros Generales'!$C$8)</f>
        <v>200</v>
      </c>
      <c r="I927" s="1057" t="s">
        <v>589</v>
      </c>
      <c r="J927" s="1058">
        <v>200</v>
      </c>
      <c r="K927" s="1070" t="str">
        <f t="shared" si="72"/>
        <v>Ok</v>
      </c>
      <c r="L927" s="1077">
        <f t="shared" si="73"/>
        <v>0</v>
      </c>
      <c r="M927" s="1090">
        <f>+H927/'Parametros Generales'!$C$8</f>
        <v>8</v>
      </c>
      <c r="N927" s="1097"/>
      <c r="O927" s="1097"/>
      <c r="P927" s="1097"/>
      <c r="Q927" s="1097"/>
      <c r="R927" s="1097">
        <f>+(M927/'Parametros Generales'!$C$9)</f>
        <v>2</v>
      </c>
      <c r="S927" s="390"/>
      <c r="T927" s="390"/>
      <c r="U927" s="390"/>
      <c r="V927" s="389"/>
      <c r="W927" s="32">
        <f>+R927*'Componentes T.H.'!$Q$9*'Parametros Generales'!$C$6</f>
        <v>10037014.142000001</v>
      </c>
      <c r="X927" s="32">
        <f>(+VLOOKUP(C927,'Transporte y Viaticos'!$B$87:$L$120,2,0)*'Parametros Generales'!$C$7*R927)*(2/3)</f>
        <v>1556876.9096810224</v>
      </c>
      <c r="Y927" s="417"/>
      <c r="Z927" s="417"/>
      <c r="AA927" s="417"/>
      <c r="AB927" s="417">
        <f>+M927*'Parametros Generales'!$C$6*'Parametros Generales'!$J$9</f>
        <v>3895272.7272727285</v>
      </c>
      <c r="AC927" s="417">
        <f>+H927*'Parametros Generales'!$J$10*'Parametros Generales'!$C$6*'Parametros Generales'!$C$11</f>
        <v>14738498.767401624</v>
      </c>
      <c r="AD927" s="417"/>
      <c r="AE927" s="417"/>
      <c r="AF927" s="417"/>
      <c r="AG927" s="417"/>
      <c r="AH927" s="417"/>
      <c r="AI927" s="417"/>
      <c r="AJ927" s="417"/>
      <c r="AK927" s="436"/>
      <c r="AL927" s="822"/>
    </row>
    <row r="928" spans="1:38" s="33" customFormat="1" hidden="1" outlineLevel="1">
      <c r="A928" s="1150"/>
      <c r="B928" s="821">
        <v>68</v>
      </c>
      <c r="C928" s="371" t="s">
        <v>581</v>
      </c>
      <c r="D928" s="31">
        <f>+VLOOKUP(E928,Codigos!$A$1:$B$1123,2,0)</f>
        <v>68406</v>
      </c>
      <c r="E928" s="1111" t="s">
        <v>2167</v>
      </c>
      <c r="F928" s="1103">
        <v>1</v>
      </c>
      <c r="G928" s="30">
        <v>198</v>
      </c>
      <c r="H928" s="1061">
        <f>CEILING(G928,'Parametros Generales'!$C$8)</f>
        <v>200</v>
      </c>
      <c r="I928" s="1057" t="s">
        <v>590</v>
      </c>
      <c r="J928" s="1058">
        <v>200</v>
      </c>
      <c r="K928" s="1070" t="str">
        <f t="shared" si="72"/>
        <v>Ok</v>
      </c>
      <c r="L928" s="1077">
        <f t="shared" si="73"/>
        <v>0</v>
      </c>
      <c r="M928" s="1090">
        <f>+H928/'Parametros Generales'!$C$8</f>
        <v>8</v>
      </c>
      <c r="N928" s="1097"/>
      <c r="O928" s="1097"/>
      <c r="P928" s="1097"/>
      <c r="Q928" s="1097"/>
      <c r="R928" s="1097">
        <f>+(M928/'Parametros Generales'!$C$9)</f>
        <v>2</v>
      </c>
      <c r="S928" s="390"/>
      <c r="T928" s="390"/>
      <c r="U928" s="390"/>
      <c r="V928" s="389"/>
      <c r="W928" s="32">
        <f>+R928*'Componentes T.H.'!$Q$9*'Parametros Generales'!$C$6</f>
        <v>10037014.142000001</v>
      </c>
      <c r="X928" s="32">
        <f>(+VLOOKUP(C928,'Transporte y Viaticos'!$B$87:$L$120,2,0)*'Parametros Generales'!$C$7*R928)*(2/3)</f>
        <v>1556876.9096810224</v>
      </c>
      <c r="Y928" s="417"/>
      <c r="Z928" s="417"/>
      <c r="AA928" s="417"/>
      <c r="AB928" s="417">
        <f>+M928*'Parametros Generales'!$C$6*'Parametros Generales'!$J$9</f>
        <v>3895272.7272727285</v>
      </c>
      <c r="AC928" s="417">
        <f>+H928*'Parametros Generales'!$J$10*'Parametros Generales'!$C$6*'Parametros Generales'!$C$11</f>
        <v>14738498.767401624</v>
      </c>
      <c r="AD928" s="417"/>
      <c r="AE928" s="417"/>
      <c r="AF928" s="417"/>
      <c r="AG928" s="417"/>
      <c r="AH928" s="417"/>
      <c r="AI928" s="417"/>
      <c r="AJ928" s="417"/>
      <c r="AK928" s="436"/>
      <c r="AL928" s="822"/>
    </row>
    <row r="929" spans="1:38" s="33" customFormat="1" hidden="1" outlineLevel="1">
      <c r="A929" s="1150"/>
      <c r="B929" s="821">
        <v>68</v>
      </c>
      <c r="C929" s="371" t="s">
        <v>581</v>
      </c>
      <c r="D929" s="31">
        <f>+VLOOKUP(E929,Codigos!$A$1:$B$1123,2,0)</f>
        <v>68432</v>
      </c>
      <c r="E929" s="1111" t="s">
        <v>2168</v>
      </c>
      <c r="F929" s="1103">
        <v>1</v>
      </c>
      <c r="G929" s="30">
        <v>198</v>
      </c>
      <c r="H929" s="1061">
        <f>CEILING((G929-50),'Parametros Generales'!$C$8)</f>
        <v>150</v>
      </c>
      <c r="I929" s="1057" t="s">
        <v>591</v>
      </c>
      <c r="J929" s="1058">
        <v>150</v>
      </c>
      <c r="K929" s="1070" t="str">
        <f t="shared" si="72"/>
        <v>Ok</v>
      </c>
      <c r="L929" s="1077">
        <f t="shared" si="73"/>
        <v>0</v>
      </c>
      <c r="M929" s="1090">
        <f>+H929/'Parametros Generales'!$C$8</f>
        <v>6</v>
      </c>
      <c r="N929" s="1097"/>
      <c r="O929" s="1097"/>
      <c r="P929" s="1097"/>
      <c r="Q929" s="1097"/>
      <c r="R929" s="1097">
        <f>+(M929/'Parametros Generales'!$C$9)</f>
        <v>1.5</v>
      </c>
      <c r="S929" s="390"/>
      <c r="T929" s="390"/>
      <c r="U929" s="390"/>
      <c r="V929" s="389"/>
      <c r="W929" s="32">
        <f>+R929*'Componentes T.H.'!$Q$9*'Parametros Generales'!$C$6</f>
        <v>7527760.6064999998</v>
      </c>
      <c r="X929" s="32">
        <f>(+VLOOKUP(C929,'Transporte y Viaticos'!$B$87:$L$120,2,0)*'Parametros Generales'!$C$7*R929)*(2/3)</f>
        <v>1167657.6822607669</v>
      </c>
      <c r="Y929" s="417"/>
      <c r="Z929" s="417"/>
      <c r="AA929" s="417"/>
      <c r="AB929" s="417">
        <f>+M929*'Parametros Generales'!$C$6*'Parametros Generales'!$J$9</f>
        <v>2921454.5454545463</v>
      </c>
      <c r="AC929" s="417">
        <f>+H929*'Parametros Generales'!$J$10*'Parametros Generales'!$C$6*'Parametros Generales'!$C$11</f>
        <v>11053874.075551221</v>
      </c>
      <c r="AD929" s="417"/>
      <c r="AE929" s="417"/>
      <c r="AF929" s="417"/>
      <c r="AG929" s="417"/>
      <c r="AH929" s="417"/>
      <c r="AI929" s="417"/>
      <c r="AJ929" s="417"/>
      <c r="AK929" s="436"/>
      <c r="AL929" s="822"/>
    </row>
    <row r="930" spans="1:38" s="33" customFormat="1" hidden="1" outlineLevel="1">
      <c r="A930" s="1150"/>
      <c r="B930" s="821">
        <v>68</v>
      </c>
      <c r="C930" s="371" t="s">
        <v>581</v>
      </c>
      <c r="D930" s="31">
        <f>+VLOOKUP(E930,Codigos!$A$1:$B$1123,2,0)</f>
        <v>68500</v>
      </c>
      <c r="E930" s="1111" t="s">
        <v>2169</v>
      </c>
      <c r="F930" s="1103">
        <v>1</v>
      </c>
      <c r="G930" s="30">
        <v>198</v>
      </c>
      <c r="H930" s="1061">
        <f>CEILING(G930,'Parametros Generales'!$C$8)</f>
        <v>200</v>
      </c>
      <c r="I930" s="1057" t="s">
        <v>592</v>
      </c>
      <c r="J930" s="1058">
        <v>200</v>
      </c>
      <c r="K930" s="1070" t="str">
        <f t="shared" si="72"/>
        <v>Ok</v>
      </c>
      <c r="L930" s="1077">
        <f t="shared" si="73"/>
        <v>0</v>
      </c>
      <c r="M930" s="1090">
        <f>+H930/'Parametros Generales'!$C$8</f>
        <v>8</v>
      </c>
      <c r="N930" s="1097"/>
      <c r="O930" s="1097"/>
      <c r="P930" s="1097"/>
      <c r="Q930" s="1097"/>
      <c r="R930" s="1097">
        <f>+(M930/'Parametros Generales'!$C$9)</f>
        <v>2</v>
      </c>
      <c r="S930" s="390"/>
      <c r="T930" s="390"/>
      <c r="U930" s="390"/>
      <c r="V930" s="389"/>
      <c r="W930" s="32">
        <f>+R930*'Componentes T.H.'!$Q$9*'Parametros Generales'!$C$6</f>
        <v>10037014.142000001</v>
      </c>
      <c r="X930" s="32">
        <f>(+VLOOKUP(C930,'Transporte y Viaticos'!$B$87:$L$120,2,0)*'Parametros Generales'!$C$7*R930)*(2/3)</f>
        <v>1556876.9096810224</v>
      </c>
      <c r="Y930" s="417"/>
      <c r="Z930" s="417"/>
      <c r="AA930" s="417"/>
      <c r="AB930" s="417">
        <f>+M930*'Parametros Generales'!$C$6*'Parametros Generales'!$J$9</f>
        <v>3895272.7272727285</v>
      </c>
      <c r="AC930" s="417">
        <f>+H930*'Parametros Generales'!$J$10*'Parametros Generales'!$C$6*'Parametros Generales'!$C$11</f>
        <v>14738498.767401624</v>
      </c>
      <c r="AD930" s="417"/>
      <c r="AE930" s="417"/>
      <c r="AF930" s="417"/>
      <c r="AG930" s="417"/>
      <c r="AH930" s="417"/>
      <c r="AI930" s="417"/>
      <c r="AJ930" s="417"/>
      <c r="AK930" s="436"/>
      <c r="AL930" s="822"/>
    </row>
    <row r="931" spans="1:38" s="33" customFormat="1" hidden="1" outlineLevel="1">
      <c r="A931" s="1150"/>
      <c r="B931" s="821">
        <v>68</v>
      </c>
      <c r="C931" s="371" t="s">
        <v>581</v>
      </c>
      <c r="D931" s="31">
        <f>+VLOOKUP(E931,Codigos!$A$1:$B$1123,2,0)</f>
        <v>68547</v>
      </c>
      <c r="E931" s="1111" t="s">
        <v>2170</v>
      </c>
      <c r="F931" s="1103">
        <v>1</v>
      </c>
      <c r="G931" s="30">
        <v>198</v>
      </c>
      <c r="H931" s="1061">
        <f>CEILING(G931,'Parametros Generales'!$C$8)</f>
        <v>200</v>
      </c>
      <c r="I931" s="1057" t="s">
        <v>593</v>
      </c>
      <c r="J931" s="1058">
        <v>200</v>
      </c>
      <c r="K931" s="1070" t="str">
        <f t="shared" si="72"/>
        <v>Ok</v>
      </c>
      <c r="L931" s="1077">
        <f t="shared" si="73"/>
        <v>0</v>
      </c>
      <c r="M931" s="1090">
        <f>+H931/'Parametros Generales'!$C$8</f>
        <v>8</v>
      </c>
      <c r="N931" s="1097"/>
      <c r="O931" s="1097"/>
      <c r="P931" s="1097"/>
      <c r="Q931" s="1097"/>
      <c r="R931" s="1097">
        <f>+(M931/'Parametros Generales'!$C$9)</f>
        <v>2</v>
      </c>
      <c r="S931" s="390"/>
      <c r="T931" s="390"/>
      <c r="U931" s="390"/>
      <c r="V931" s="389"/>
      <c r="W931" s="32">
        <f>+R931*'Componentes T.H.'!$Q$9*'Parametros Generales'!$C$6</f>
        <v>10037014.142000001</v>
      </c>
      <c r="X931" s="32">
        <f>(+VLOOKUP(C931,'Transporte y Viaticos'!$B$87:$L$120,2,0)*'Parametros Generales'!$C$7*R931)*(2/3)</f>
        <v>1556876.9096810224</v>
      </c>
      <c r="Y931" s="417"/>
      <c r="Z931" s="417"/>
      <c r="AA931" s="417"/>
      <c r="AB931" s="417">
        <f>+M931*'Parametros Generales'!$C$6*'Parametros Generales'!$J$9</f>
        <v>3895272.7272727285</v>
      </c>
      <c r="AC931" s="417">
        <f>+H931*'Parametros Generales'!$J$10*'Parametros Generales'!$C$6*'Parametros Generales'!$C$11</f>
        <v>14738498.767401624</v>
      </c>
      <c r="AD931" s="417"/>
      <c r="AE931" s="417"/>
      <c r="AF931" s="417"/>
      <c r="AG931" s="417"/>
      <c r="AH931" s="417"/>
      <c r="AI931" s="417"/>
      <c r="AJ931" s="417"/>
      <c r="AK931" s="436"/>
      <c r="AL931" s="822"/>
    </row>
    <row r="932" spans="1:38" s="33" customFormat="1" hidden="1" outlineLevel="1">
      <c r="A932" s="1150"/>
      <c r="B932" s="821">
        <v>68</v>
      </c>
      <c r="C932" s="371" t="s">
        <v>581</v>
      </c>
      <c r="D932" s="31">
        <f>+VLOOKUP(E932,Codigos!$A$1:$B$1123,2,0)</f>
        <v>68575</v>
      </c>
      <c r="E932" s="1111" t="s">
        <v>2171</v>
      </c>
      <c r="F932" s="1103">
        <v>1</v>
      </c>
      <c r="G932" s="30">
        <v>198</v>
      </c>
      <c r="H932" s="1061">
        <f>CEILING(G932,'Parametros Generales'!$C$8)</f>
        <v>200</v>
      </c>
      <c r="I932" s="1057" t="s">
        <v>594</v>
      </c>
      <c r="J932" s="1058">
        <v>200</v>
      </c>
      <c r="K932" s="1070" t="str">
        <f t="shared" si="72"/>
        <v>Ok</v>
      </c>
      <c r="L932" s="1077">
        <f t="shared" si="73"/>
        <v>0</v>
      </c>
      <c r="M932" s="1090">
        <f>+H932/'Parametros Generales'!$C$8</f>
        <v>8</v>
      </c>
      <c r="N932" s="1097"/>
      <c r="O932" s="1097"/>
      <c r="P932" s="1097"/>
      <c r="Q932" s="1097"/>
      <c r="R932" s="1097">
        <f>+(M932/'Parametros Generales'!$C$9)</f>
        <v>2</v>
      </c>
      <c r="S932" s="390"/>
      <c r="T932" s="390"/>
      <c r="U932" s="390"/>
      <c r="V932" s="389"/>
      <c r="W932" s="32">
        <f>+R932*'Componentes T.H.'!$Q$9*'Parametros Generales'!$C$6</f>
        <v>10037014.142000001</v>
      </c>
      <c r="X932" s="32">
        <f>(+VLOOKUP(C932,'Transporte y Viaticos'!$B$87:$L$120,2,0)*'Parametros Generales'!$C$7*R932)*(2/3)</f>
        <v>1556876.9096810224</v>
      </c>
      <c r="Y932" s="417"/>
      <c r="Z932" s="417"/>
      <c r="AA932" s="417"/>
      <c r="AB932" s="417">
        <f>+M932*'Parametros Generales'!$C$6*'Parametros Generales'!$J$9</f>
        <v>3895272.7272727285</v>
      </c>
      <c r="AC932" s="417">
        <f>+H932*'Parametros Generales'!$J$10*'Parametros Generales'!$C$6*'Parametros Generales'!$C$11</f>
        <v>14738498.767401624</v>
      </c>
      <c r="AD932" s="417"/>
      <c r="AE932" s="417"/>
      <c r="AF932" s="417"/>
      <c r="AG932" s="417"/>
      <c r="AH932" s="417"/>
      <c r="AI932" s="417"/>
      <c r="AJ932" s="417"/>
      <c r="AK932" s="436"/>
      <c r="AL932" s="822"/>
    </row>
    <row r="933" spans="1:38" s="33" customFormat="1" hidden="1" outlineLevel="1">
      <c r="A933" s="1150"/>
      <c r="B933" s="821">
        <v>68</v>
      </c>
      <c r="C933" s="371" t="s">
        <v>581</v>
      </c>
      <c r="D933" s="31">
        <f>+VLOOKUP(E933,Codigos!$A$1:$B$1123,2,0)</f>
        <v>68615</v>
      </c>
      <c r="E933" s="1111" t="s">
        <v>2172</v>
      </c>
      <c r="F933" s="1103">
        <v>1</v>
      </c>
      <c r="G933" s="30">
        <v>198</v>
      </c>
      <c r="H933" s="1061">
        <f>CEILING(G933,'Parametros Generales'!$C$8)</f>
        <v>200</v>
      </c>
      <c r="I933" s="1057" t="s">
        <v>595</v>
      </c>
      <c r="J933" s="1058">
        <v>200</v>
      </c>
      <c r="K933" s="1070" t="str">
        <f t="shared" si="72"/>
        <v>Ok</v>
      </c>
      <c r="L933" s="1077">
        <f t="shared" si="73"/>
        <v>0</v>
      </c>
      <c r="M933" s="1090">
        <f>+H933/'Parametros Generales'!$C$8</f>
        <v>8</v>
      </c>
      <c r="N933" s="1097"/>
      <c r="O933" s="1097"/>
      <c r="P933" s="1097"/>
      <c r="Q933" s="1097"/>
      <c r="R933" s="1097">
        <f>+(M933/'Parametros Generales'!$C$9)</f>
        <v>2</v>
      </c>
      <c r="S933" s="390"/>
      <c r="T933" s="390"/>
      <c r="U933" s="390"/>
      <c r="V933" s="389"/>
      <c r="W933" s="32">
        <f>+R933*'Componentes T.H.'!$Q$9*'Parametros Generales'!$C$6</f>
        <v>10037014.142000001</v>
      </c>
      <c r="X933" s="32">
        <f>(+VLOOKUP(C933,'Transporte y Viaticos'!$B$87:$L$120,2,0)*'Parametros Generales'!$C$7*R933)*(2/3)</f>
        <v>1556876.9096810224</v>
      </c>
      <c r="Y933" s="417"/>
      <c r="Z933" s="417"/>
      <c r="AA933" s="417"/>
      <c r="AB933" s="417">
        <f>+M933*'Parametros Generales'!$C$6*'Parametros Generales'!$J$9</f>
        <v>3895272.7272727285</v>
      </c>
      <c r="AC933" s="417">
        <f>+H933*'Parametros Generales'!$J$10*'Parametros Generales'!$C$6*'Parametros Generales'!$C$11</f>
        <v>14738498.767401624</v>
      </c>
      <c r="AD933" s="417"/>
      <c r="AE933" s="417"/>
      <c r="AF933" s="417"/>
      <c r="AG933" s="417"/>
      <c r="AH933" s="417"/>
      <c r="AI933" s="417"/>
      <c r="AJ933" s="417"/>
      <c r="AK933" s="436"/>
      <c r="AL933" s="822"/>
    </row>
    <row r="934" spans="1:38" s="33" customFormat="1" hidden="1" outlineLevel="1">
      <c r="A934" s="1150"/>
      <c r="B934" s="821">
        <v>68</v>
      </c>
      <c r="C934" s="371" t="s">
        <v>581</v>
      </c>
      <c r="D934" s="31">
        <f>+VLOOKUP(E934,Codigos!$A$1:$B$1123,2,0)</f>
        <v>68655</v>
      </c>
      <c r="E934" s="1111" t="s">
        <v>2173</v>
      </c>
      <c r="F934" s="1103">
        <v>1</v>
      </c>
      <c r="G934" s="30">
        <v>198</v>
      </c>
      <c r="H934" s="1061">
        <f>CEILING(G934,'Parametros Generales'!$C$8)</f>
        <v>200</v>
      </c>
      <c r="I934" s="1057" t="s">
        <v>596</v>
      </c>
      <c r="J934" s="1058">
        <v>200</v>
      </c>
      <c r="K934" s="1070" t="str">
        <f t="shared" si="72"/>
        <v>Ok</v>
      </c>
      <c r="L934" s="1077">
        <f t="shared" si="73"/>
        <v>0</v>
      </c>
      <c r="M934" s="1090">
        <f>+H934/'Parametros Generales'!$C$8</f>
        <v>8</v>
      </c>
      <c r="N934" s="1097"/>
      <c r="O934" s="1097"/>
      <c r="P934" s="1097"/>
      <c r="Q934" s="1097"/>
      <c r="R934" s="1097">
        <f>+(M934/'Parametros Generales'!$C$9)</f>
        <v>2</v>
      </c>
      <c r="S934" s="390"/>
      <c r="T934" s="390"/>
      <c r="U934" s="390"/>
      <c r="V934" s="389"/>
      <c r="W934" s="32">
        <f>+R934*'Componentes T.H.'!$Q$9*'Parametros Generales'!$C$6</f>
        <v>10037014.142000001</v>
      </c>
      <c r="X934" s="32">
        <f>(+VLOOKUP(C934,'Transporte y Viaticos'!$B$87:$L$120,2,0)*'Parametros Generales'!$C$7*R934)*(2/3)</f>
        <v>1556876.9096810224</v>
      </c>
      <c r="Y934" s="417"/>
      <c r="Z934" s="417"/>
      <c r="AA934" s="417"/>
      <c r="AB934" s="417">
        <f>+M934*'Parametros Generales'!$C$6*'Parametros Generales'!$J$9</f>
        <v>3895272.7272727285</v>
      </c>
      <c r="AC934" s="417">
        <f>+H934*'Parametros Generales'!$J$10*'Parametros Generales'!$C$6*'Parametros Generales'!$C$11</f>
        <v>14738498.767401624</v>
      </c>
      <c r="AD934" s="417"/>
      <c r="AE934" s="417"/>
      <c r="AF934" s="417"/>
      <c r="AG934" s="417"/>
      <c r="AH934" s="417"/>
      <c r="AI934" s="417"/>
      <c r="AJ934" s="417"/>
      <c r="AK934" s="436"/>
      <c r="AL934" s="822"/>
    </row>
    <row r="935" spans="1:38" s="33" customFormat="1" hidden="1" outlineLevel="1">
      <c r="A935" s="1150"/>
      <c r="B935" s="821">
        <v>68</v>
      </c>
      <c r="C935" s="371" t="s">
        <v>581</v>
      </c>
      <c r="D935" s="31">
        <f>+VLOOKUP(E935,Codigos!$A$1:$B$1123,2,0)</f>
        <v>68679</v>
      </c>
      <c r="E935" s="1111" t="s">
        <v>2174</v>
      </c>
      <c r="F935" s="1103">
        <v>1</v>
      </c>
      <c r="G935" s="30">
        <v>198</v>
      </c>
      <c r="H935" s="1061">
        <f>CEILING(G935,'Parametros Generales'!$C$8)</f>
        <v>200</v>
      </c>
      <c r="I935" s="1057" t="s">
        <v>597</v>
      </c>
      <c r="J935" s="1058">
        <v>200</v>
      </c>
      <c r="K935" s="1070" t="str">
        <f t="shared" si="72"/>
        <v>Ok</v>
      </c>
      <c r="L935" s="1077">
        <f t="shared" si="73"/>
        <v>0</v>
      </c>
      <c r="M935" s="1090">
        <f>+H935/'Parametros Generales'!$C$8</f>
        <v>8</v>
      </c>
      <c r="N935" s="1097"/>
      <c r="O935" s="1097"/>
      <c r="P935" s="1097"/>
      <c r="Q935" s="1097"/>
      <c r="R935" s="1097">
        <f>+(M935/'Parametros Generales'!$C$9)</f>
        <v>2</v>
      </c>
      <c r="S935" s="390"/>
      <c r="T935" s="390"/>
      <c r="U935" s="390"/>
      <c r="V935" s="389"/>
      <c r="W935" s="32">
        <f>+R935*'Componentes T.H.'!$Q$9*'Parametros Generales'!$C$6</f>
        <v>10037014.142000001</v>
      </c>
      <c r="X935" s="32">
        <f>(+VLOOKUP(C935,'Transporte y Viaticos'!$B$87:$L$120,2,0)*'Parametros Generales'!$C$7*R935)*(2/3)</f>
        <v>1556876.9096810224</v>
      </c>
      <c r="Y935" s="417"/>
      <c r="Z935" s="417"/>
      <c r="AA935" s="417"/>
      <c r="AB935" s="417">
        <f>+M935*'Parametros Generales'!$C$6*'Parametros Generales'!$J$9</f>
        <v>3895272.7272727285</v>
      </c>
      <c r="AC935" s="417">
        <f>+H935*'Parametros Generales'!$J$10*'Parametros Generales'!$C$6*'Parametros Generales'!$C$11</f>
        <v>14738498.767401624</v>
      </c>
      <c r="AD935" s="417"/>
      <c r="AE935" s="417"/>
      <c r="AF935" s="417"/>
      <c r="AG935" s="417"/>
      <c r="AH935" s="417"/>
      <c r="AI935" s="417"/>
      <c r="AJ935" s="417"/>
      <c r="AK935" s="436"/>
      <c r="AL935" s="822"/>
    </row>
    <row r="936" spans="1:38" s="33" customFormat="1" hidden="1" outlineLevel="1">
      <c r="A936" s="1150"/>
      <c r="B936" s="821">
        <v>68</v>
      </c>
      <c r="C936" s="371" t="s">
        <v>581</v>
      </c>
      <c r="D936" s="31">
        <f>+VLOOKUP(E936,Codigos!$A$1:$B$1123,2,0)</f>
        <v>68689</v>
      </c>
      <c r="E936" s="1111" t="s">
        <v>2175</v>
      </c>
      <c r="F936" s="1103">
        <v>1</v>
      </c>
      <c r="G936" s="30">
        <v>198</v>
      </c>
      <c r="H936" s="1061">
        <f>CEILING(G936,'Parametros Generales'!$C$8)</f>
        <v>200</v>
      </c>
      <c r="I936" s="1057" t="s">
        <v>598</v>
      </c>
      <c r="J936" s="1058">
        <v>200</v>
      </c>
      <c r="K936" s="1070" t="str">
        <f t="shared" si="72"/>
        <v>Ok</v>
      </c>
      <c r="L936" s="1077">
        <f t="shared" si="73"/>
        <v>0</v>
      </c>
      <c r="M936" s="1090">
        <f>+H936/'Parametros Generales'!$C$8</f>
        <v>8</v>
      </c>
      <c r="N936" s="1097"/>
      <c r="O936" s="1097"/>
      <c r="P936" s="1097"/>
      <c r="Q936" s="1097"/>
      <c r="R936" s="1097">
        <f>+(M936/'Parametros Generales'!$C$9)</f>
        <v>2</v>
      </c>
      <c r="S936" s="390"/>
      <c r="T936" s="390"/>
      <c r="U936" s="390"/>
      <c r="V936" s="389"/>
      <c r="W936" s="32">
        <f>+R936*'Componentes T.H.'!$Q$9*'Parametros Generales'!$C$6</f>
        <v>10037014.142000001</v>
      </c>
      <c r="X936" s="32">
        <f>(+VLOOKUP(C936,'Transporte y Viaticos'!$B$87:$L$120,2,0)*'Parametros Generales'!$C$7*R936)*(2/3)</f>
        <v>1556876.9096810224</v>
      </c>
      <c r="Y936" s="417"/>
      <c r="Z936" s="417"/>
      <c r="AA936" s="417"/>
      <c r="AB936" s="417">
        <f>+M936*'Parametros Generales'!$C$6*'Parametros Generales'!$J$9</f>
        <v>3895272.7272727285</v>
      </c>
      <c r="AC936" s="417">
        <f>+H936*'Parametros Generales'!$J$10*'Parametros Generales'!$C$6*'Parametros Generales'!$C$11</f>
        <v>14738498.767401624</v>
      </c>
      <c r="AD936" s="417"/>
      <c r="AE936" s="417"/>
      <c r="AF936" s="417"/>
      <c r="AG936" s="417"/>
      <c r="AH936" s="417"/>
      <c r="AI936" s="417"/>
      <c r="AJ936" s="417"/>
      <c r="AK936" s="436"/>
      <c r="AL936" s="822"/>
    </row>
    <row r="937" spans="1:38" s="33" customFormat="1" hidden="1" outlineLevel="1">
      <c r="A937" s="1150"/>
      <c r="B937" s="821">
        <v>68</v>
      </c>
      <c r="C937" s="371" t="s">
        <v>581</v>
      </c>
      <c r="D937" s="31">
        <f>+VLOOKUP(E937,Codigos!$A$1:$B$1123,2,0)</f>
        <v>68755</v>
      </c>
      <c r="E937" s="1111" t="s">
        <v>2176</v>
      </c>
      <c r="F937" s="1103">
        <v>1</v>
      </c>
      <c r="G937" s="30">
        <v>198</v>
      </c>
      <c r="H937" s="1061">
        <f>CEILING(G937,'Parametros Generales'!$C$8)</f>
        <v>200</v>
      </c>
      <c r="I937" s="1057" t="s">
        <v>599</v>
      </c>
      <c r="J937" s="1058">
        <v>200</v>
      </c>
      <c r="K937" s="1070" t="str">
        <f t="shared" si="72"/>
        <v>Ok</v>
      </c>
      <c r="L937" s="1077">
        <f t="shared" si="73"/>
        <v>0</v>
      </c>
      <c r="M937" s="1090">
        <f>+H937/'Parametros Generales'!$C$8</f>
        <v>8</v>
      </c>
      <c r="N937" s="1097"/>
      <c r="O937" s="1097"/>
      <c r="P937" s="1097"/>
      <c r="Q937" s="1097"/>
      <c r="R937" s="1097">
        <f>+(M937/'Parametros Generales'!$C$9)</f>
        <v>2</v>
      </c>
      <c r="S937" s="390"/>
      <c r="T937" s="390"/>
      <c r="U937" s="390"/>
      <c r="V937" s="389"/>
      <c r="W937" s="32">
        <f>+R937*'Componentes T.H.'!$Q$9*'Parametros Generales'!$C$6</f>
        <v>10037014.142000001</v>
      </c>
      <c r="X937" s="32">
        <f>(+VLOOKUP(C937,'Transporte y Viaticos'!$B$87:$L$120,2,0)*'Parametros Generales'!$C$7*R937)*(2/3)</f>
        <v>1556876.9096810224</v>
      </c>
      <c r="Y937" s="417"/>
      <c r="Z937" s="417"/>
      <c r="AA937" s="417"/>
      <c r="AB937" s="417">
        <f>+M937*'Parametros Generales'!$C$6*'Parametros Generales'!$J$9</f>
        <v>3895272.7272727285</v>
      </c>
      <c r="AC937" s="417">
        <f>+H937*'Parametros Generales'!$J$10*'Parametros Generales'!$C$6*'Parametros Generales'!$C$11</f>
        <v>14738498.767401624</v>
      </c>
      <c r="AD937" s="417"/>
      <c r="AE937" s="417"/>
      <c r="AF937" s="417"/>
      <c r="AG937" s="417"/>
      <c r="AH937" s="417"/>
      <c r="AI937" s="417"/>
      <c r="AJ937" s="417"/>
      <c r="AK937" s="436"/>
      <c r="AL937" s="822"/>
    </row>
    <row r="938" spans="1:38" s="33" customFormat="1" hidden="1" outlineLevel="1">
      <c r="A938" s="1150"/>
      <c r="B938" s="821">
        <v>68</v>
      </c>
      <c r="C938" s="371" t="s">
        <v>581</v>
      </c>
      <c r="D938" s="31">
        <f>+VLOOKUP(E938,Codigos!$A$1:$B$1123,2,0)</f>
        <v>68780</v>
      </c>
      <c r="E938" s="1111" t="s">
        <v>2177</v>
      </c>
      <c r="F938" s="1103">
        <v>1</v>
      </c>
      <c r="G938" s="30">
        <v>198</v>
      </c>
      <c r="H938" s="1061">
        <f>CEILING(G938,'Parametros Generales'!$C$8)</f>
        <v>200</v>
      </c>
      <c r="I938" s="1057" t="s">
        <v>600</v>
      </c>
      <c r="J938" s="1058">
        <v>200</v>
      </c>
      <c r="K938" s="1070" t="str">
        <f t="shared" si="72"/>
        <v>Ok</v>
      </c>
      <c r="L938" s="1077">
        <f t="shared" si="73"/>
        <v>0</v>
      </c>
      <c r="M938" s="1090">
        <f>+H938/'Parametros Generales'!$C$8</f>
        <v>8</v>
      </c>
      <c r="N938" s="1097"/>
      <c r="O938" s="1097"/>
      <c r="P938" s="1097"/>
      <c r="Q938" s="1097"/>
      <c r="R938" s="1097">
        <f>+(M938/'Parametros Generales'!$C$9)</f>
        <v>2</v>
      </c>
      <c r="S938" s="390"/>
      <c r="T938" s="390"/>
      <c r="U938" s="390"/>
      <c r="V938" s="389"/>
      <c r="W938" s="32">
        <f>+R938*'Componentes T.H.'!$Q$9*'Parametros Generales'!$C$6</f>
        <v>10037014.142000001</v>
      </c>
      <c r="X938" s="32">
        <f>(+VLOOKUP(C938,'Transporte y Viaticos'!$B$87:$L$120,2,0)*'Parametros Generales'!$C$7*R938)*(2/3)</f>
        <v>1556876.9096810224</v>
      </c>
      <c r="Y938" s="417"/>
      <c r="Z938" s="417"/>
      <c r="AA938" s="417"/>
      <c r="AB938" s="417">
        <f>+M938*'Parametros Generales'!$C$6*'Parametros Generales'!$J$9</f>
        <v>3895272.7272727285</v>
      </c>
      <c r="AC938" s="417">
        <f>+H938*'Parametros Generales'!$J$10*'Parametros Generales'!$C$6*'Parametros Generales'!$C$11</f>
        <v>14738498.767401624</v>
      </c>
      <c r="AD938" s="417"/>
      <c r="AE938" s="417"/>
      <c r="AF938" s="417"/>
      <c r="AG938" s="417"/>
      <c r="AH938" s="417"/>
      <c r="AI938" s="417"/>
      <c r="AJ938" s="417"/>
      <c r="AK938" s="436"/>
      <c r="AL938" s="822"/>
    </row>
    <row r="939" spans="1:38" s="33" customFormat="1" hidden="1" outlineLevel="1">
      <c r="A939" s="1150"/>
      <c r="B939" s="821">
        <v>68</v>
      </c>
      <c r="C939" s="371" t="s">
        <v>581</v>
      </c>
      <c r="D939" s="31">
        <f>+VLOOKUP(E939,Codigos!$A$1:$B$1123,2,0)</f>
        <v>68820</v>
      </c>
      <c r="E939" s="1111" t="s">
        <v>2178</v>
      </c>
      <c r="F939" s="1103">
        <v>1</v>
      </c>
      <c r="G939" s="30">
        <v>198</v>
      </c>
      <c r="H939" s="1061">
        <f>CEILING(G939,'Parametros Generales'!$C$8)</f>
        <v>200</v>
      </c>
      <c r="I939" s="1057" t="s">
        <v>601</v>
      </c>
      <c r="J939" s="1058">
        <v>200</v>
      </c>
      <c r="K939" s="1070" t="str">
        <f t="shared" si="72"/>
        <v>Ok</v>
      </c>
      <c r="L939" s="1077">
        <f t="shared" si="73"/>
        <v>0</v>
      </c>
      <c r="M939" s="1090">
        <f>+H939/'Parametros Generales'!$C$8</f>
        <v>8</v>
      </c>
      <c r="N939" s="1097"/>
      <c r="O939" s="1097"/>
      <c r="P939" s="1097"/>
      <c r="Q939" s="1097"/>
      <c r="R939" s="1097">
        <f>+(M939/'Parametros Generales'!$C$9)</f>
        <v>2</v>
      </c>
      <c r="S939" s="390"/>
      <c r="T939" s="390"/>
      <c r="U939" s="390"/>
      <c r="V939" s="389"/>
      <c r="W939" s="32">
        <f>+R939*'Componentes T.H.'!$Q$9*'Parametros Generales'!$C$6</f>
        <v>10037014.142000001</v>
      </c>
      <c r="X939" s="32">
        <f>(+VLOOKUP(C939,'Transporte y Viaticos'!$B$87:$L$120,2,0)*'Parametros Generales'!$C$7*R939)*(2/3)</f>
        <v>1556876.9096810224</v>
      </c>
      <c r="Y939" s="417"/>
      <c r="Z939" s="417"/>
      <c r="AA939" s="417"/>
      <c r="AB939" s="417">
        <f>+M939*'Parametros Generales'!$C$6*'Parametros Generales'!$J$9</f>
        <v>3895272.7272727285</v>
      </c>
      <c r="AC939" s="417">
        <f>+H939*'Parametros Generales'!$J$10*'Parametros Generales'!$C$6*'Parametros Generales'!$C$11</f>
        <v>14738498.767401624</v>
      </c>
      <c r="AD939" s="417"/>
      <c r="AE939" s="417"/>
      <c r="AF939" s="417"/>
      <c r="AG939" s="417"/>
      <c r="AH939" s="417"/>
      <c r="AI939" s="417"/>
      <c r="AJ939" s="417"/>
      <c r="AK939" s="436"/>
      <c r="AL939" s="822"/>
    </row>
    <row r="940" spans="1:38" s="33" customFormat="1" hidden="1" outlineLevel="1">
      <c r="A940" s="1150"/>
      <c r="B940" s="821">
        <v>68</v>
      </c>
      <c r="C940" s="371" t="s">
        <v>581</v>
      </c>
      <c r="D940" s="31">
        <f>+VLOOKUP(E940,Codigos!$A$1:$B$1123,2,0)</f>
        <v>68861</v>
      </c>
      <c r="E940" s="1111" t="s">
        <v>2179</v>
      </c>
      <c r="F940" s="1103">
        <v>1</v>
      </c>
      <c r="G940" s="30">
        <v>198</v>
      </c>
      <c r="H940" s="1061">
        <f>CEILING((G940-50),'Parametros Generales'!$C$8)</f>
        <v>150</v>
      </c>
      <c r="I940" s="1057" t="s">
        <v>602</v>
      </c>
      <c r="J940" s="1058">
        <v>150</v>
      </c>
      <c r="K940" s="1070" t="str">
        <f t="shared" si="72"/>
        <v>Ok</v>
      </c>
      <c r="L940" s="1077">
        <f t="shared" si="73"/>
        <v>0</v>
      </c>
      <c r="M940" s="1090">
        <f>+H940/'Parametros Generales'!$C$8</f>
        <v>6</v>
      </c>
      <c r="N940" s="1097"/>
      <c r="O940" s="1097"/>
      <c r="P940" s="1097"/>
      <c r="Q940" s="1097"/>
      <c r="R940" s="1097">
        <f>+(M940/'Parametros Generales'!$C$9)</f>
        <v>1.5</v>
      </c>
      <c r="S940" s="390"/>
      <c r="T940" s="390"/>
      <c r="U940" s="390"/>
      <c r="V940" s="389"/>
      <c r="W940" s="32">
        <f>+R940*'Componentes T.H.'!$Q$9*'Parametros Generales'!$C$6</f>
        <v>7527760.6064999998</v>
      </c>
      <c r="X940" s="32">
        <f>(+VLOOKUP(C940,'Transporte y Viaticos'!$B$87:$L$120,2,0)*'Parametros Generales'!$C$7*R940)*(2/3)</f>
        <v>1167657.6822607669</v>
      </c>
      <c r="Y940" s="417"/>
      <c r="Z940" s="417"/>
      <c r="AA940" s="417"/>
      <c r="AB940" s="417">
        <f>+M940*'Parametros Generales'!$C$6*'Parametros Generales'!$J$9</f>
        <v>2921454.5454545463</v>
      </c>
      <c r="AC940" s="417">
        <f>+H940*'Parametros Generales'!$J$10*'Parametros Generales'!$C$6*'Parametros Generales'!$C$11</f>
        <v>11053874.075551221</v>
      </c>
      <c r="AD940" s="417"/>
      <c r="AE940" s="417"/>
      <c r="AF940" s="417"/>
      <c r="AG940" s="417"/>
      <c r="AH940" s="417"/>
      <c r="AI940" s="417"/>
      <c r="AJ940" s="417"/>
      <c r="AK940" s="436"/>
      <c r="AL940" s="822"/>
    </row>
    <row r="941" spans="1:38" s="33" customFormat="1" hidden="1" outlineLevel="1">
      <c r="A941" s="1150"/>
      <c r="B941" s="823">
        <v>68</v>
      </c>
      <c r="C941" s="373" t="s">
        <v>581</v>
      </c>
      <c r="D941" s="374">
        <f>+VLOOKUP(E941,Codigos!$A$1:$B$1123,2,0)</f>
        <v>68895</v>
      </c>
      <c r="E941" s="1113" t="s">
        <v>2180</v>
      </c>
      <c r="F941" s="1104">
        <v>1</v>
      </c>
      <c r="G941" s="375">
        <v>198</v>
      </c>
      <c r="H941" s="1062">
        <f>CEILING(G941,'Parametros Generales'!$C$8)</f>
        <v>200</v>
      </c>
      <c r="I941" s="1057" t="s">
        <v>603</v>
      </c>
      <c r="J941" s="1058">
        <v>200</v>
      </c>
      <c r="K941" s="1070" t="str">
        <f t="shared" si="72"/>
        <v>Ok</v>
      </c>
      <c r="L941" s="1077">
        <f t="shared" si="73"/>
        <v>0</v>
      </c>
      <c r="M941" s="1091">
        <f>+H941/'Parametros Generales'!$C$8</f>
        <v>8</v>
      </c>
      <c r="N941" s="1098"/>
      <c r="O941" s="1098"/>
      <c r="P941" s="1098"/>
      <c r="Q941" s="1098"/>
      <c r="R941" s="1098">
        <f>+(M941/'Parametros Generales'!$C$9)</f>
        <v>2</v>
      </c>
      <c r="S941" s="395"/>
      <c r="T941" s="395"/>
      <c r="U941" s="395"/>
      <c r="V941" s="396"/>
      <c r="W941" s="376">
        <f>+R941*'Componentes T.H.'!$Q$9*'Parametros Generales'!$C$6</f>
        <v>10037014.142000001</v>
      </c>
      <c r="X941" s="376">
        <f>(+VLOOKUP(C941,'Transporte y Viaticos'!$B$87:$L$120,2,0)*'Parametros Generales'!$C$7*R941)*(2/3)</f>
        <v>1556876.9096810224</v>
      </c>
      <c r="Y941" s="417"/>
      <c r="Z941" s="417"/>
      <c r="AA941" s="417"/>
      <c r="AB941" s="417">
        <f>+M941*'Parametros Generales'!$C$6*'Parametros Generales'!$J$9</f>
        <v>3895272.7272727285</v>
      </c>
      <c r="AC941" s="417">
        <f>+H941*'Parametros Generales'!$J$10*'Parametros Generales'!$C$6*'Parametros Generales'!$C$11</f>
        <v>14738498.767401624</v>
      </c>
      <c r="AD941" s="417"/>
      <c r="AE941" s="417"/>
      <c r="AF941" s="417"/>
      <c r="AG941" s="417"/>
      <c r="AH941" s="417"/>
      <c r="AI941" s="417"/>
      <c r="AJ941" s="417"/>
      <c r="AK941" s="436"/>
      <c r="AL941" s="822"/>
    </row>
    <row r="942" spans="1:38" s="33" customFormat="1" hidden="1" outlineLevel="1">
      <c r="A942" s="1150"/>
      <c r="B942" s="823">
        <f t="shared" ref="B942:B952" si="76">+B941</f>
        <v>68</v>
      </c>
      <c r="C942" s="373" t="str">
        <f t="shared" ref="C942:C952" si="77">+C941</f>
        <v>SANTANDER</v>
      </c>
      <c r="D942" s="374"/>
      <c r="E942" s="1113"/>
      <c r="F942" s="1104"/>
      <c r="G942" s="375"/>
      <c r="H942" s="1062"/>
      <c r="I942" s="1057"/>
      <c r="J942" s="1058"/>
      <c r="K942" s="1070" t="str">
        <f t="shared" si="72"/>
        <v>Ok</v>
      </c>
      <c r="L942" s="1077">
        <f t="shared" si="73"/>
        <v>0</v>
      </c>
      <c r="M942" s="1091">
        <f>+H942/'Parametros Generales'!$C$8</f>
        <v>0</v>
      </c>
      <c r="N942" s="1098"/>
      <c r="O942" s="1098"/>
      <c r="P942" s="1098"/>
      <c r="Q942" s="1098"/>
      <c r="R942" s="1098">
        <f>+(M942/'Parametros Generales'!$C$9)</f>
        <v>0</v>
      </c>
      <c r="S942" s="395"/>
      <c r="T942" s="395"/>
      <c r="U942" s="395"/>
      <c r="V942" s="396"/>
      <c r="W942" s="376">
        <f>+R942*'Componentes T.H.'!$Q$9*'Parametros Generales'!$C$6</f>
        <v>0</v>
      </c>
      <c r="X942" s="376">
        <f>(+VLOOKUP(C942,'Transporte y Viaticos'!$B$87:$L$120,2,0)*'Parametros Generales'!$C$7*R942)*(2/3)</f>
        <v>0</v>
      </c>
      <c r="Y942" s="417"/>
      <c r="Z942" s="417"/>
      <c r="AA942" s="417"/>
      <c r="AB942" s="417">
        <f>+M942*'Parametros Generales'!$C$6*'Parametros Generales'!$J$9</f>
        <v>0</v>
      </c>
      <c r="AC942" s="417">
        <f>+H942*'Parametros Generales'!$J$10*'Parametros Generales'!$C$6*'Parametros Generales'!$C$11</f>
        <v>0</v>
      </c>
      <c r="AD942" s="417"/>
      <c r="AE942" s="417"/>
      <c r="AF942" s="417"/>
      <c r="AG942" s="417"/>
      <c r="AH942" s="417"/>
      <c r="AI942" s="417"/>
      <c r="AJ942" s="417"/>
      <c r="AK942" s="436"/>
      <c r="AL942" s="822"/>
    </row>
    <row r="943" spans="1:38" s="33" customFormat="1" hidden="1" outlineLevel="1">
      <c r="A943" s="1150"/>
      <c r="B943" s="823">
        <f t="shared" si="76"/>
        <v>68</v>
      </c>
      <c r="C943" s="373" t="str">
        <f t="shared" si="77"/>
        <v>SANTANDER</v>
      </c>
      <c r="D943" s="374"/>
      <c r="E943" s="1113"/>
      <c r="F943" s="1104"/>
      <c r="G943" s="375"/>
      <c r="H943" s="1062"/>
      <c r="I943" s="1057"/>
      <c r="J943" s="1058"/>
      <c r="K943" s="1070" t="str">
        <f t="shared" si="72"/>
        <v>Ok</v>
      </c>
      <c r="L943" s="1077">
        <f t="shared" si="73"/>
        <v>0</v>
      </c>
      <c r="M943" s="1091">
        <f>+H943/'Parametros Generales'!$C$8</f>
        <v>0</v>
      </c>
      <c r="N943" s="1098"/>
      <c r="O943" s="1098"/>
      <c r="P943" s="1098"/>
      <c r="Q943" s="1098"/>
      <c r="R943" s="1098">
        <f>+(M943/'Parametros Generales'!$C$9)</f>
        <v>0</v>
      </c>
      <c r="S943" s="395"/>
      <c r="T943" s="395"/>
      <c r="U943" s="395"/>
      <c r="V943" s="396"/>
      <c r="W943" s="376">
        <f>+R943*'Componentes T.H.'!$Q$9*'Parametros Generales'!$C$6</f>
        <v>0</v>
      </c>
      <c r="X943" s="376">
        <f>(+VLOOKUP(C943,'Transporte y Viaticos'!$B$87:$L$120,2,0)*'Parametros Generales'!$C$7*R943)*(2/3)</f>
        <v>0</v>
      </c>
      <c r="Y943" s="417"/>
      <c r="Z943" s="417"/>
      <c r="AA943" s="417"/>
      <c r="AB943" s="417">
        <f>+M943*'Parametros Generales'!$C$6*'Parametros Generales'!$J$9</f>
        <v>0</v>
      </c>
      <c r="AC943" s="417">
        <f>+H943*'Parametros Generales'!$J$10*'Parametros Generales'!$C$6*'Parametros Generales'!$C$11</f>
        <v>0</v>
      </c>
      <c r="AD943" s="417"/>
      <c r="AE943" s="417"/>
      <c r="AF943" s="417"/>
      <c r="AG943" s="417"/>
      <c r="AH943" s="417"/>
      <c r="AI943" s="417"/>
      <c r="AJ943" s="417"/>
      <c r="AK943" s="436"/>
      <c r="AL943" s="822"/>
    </row>
    <row r="944" spans="1:38" s="33" customFormat="1" hidden="1" outlineLevel="1">
      <c r="A944" s="1150"/>
      <c r="B944" s="823">
        <f t="shared" si="76"/>
        <v>68</v>
      </c>
      <c r="C944" s="373" t="str">
        <f t="shared" si="77"/>
        <v>SANTANDER</v>
      </c>
      <c r="D944" s="374"/>
      <c r="E944" s="1113"/>
      <c r="F944" s="1104"/>
      <c r="G944" s="375"/>
      <c r="H944" s="1062"/>
      <c r="I944" s="1057"/>
      <c r="J944" s="1058"/>
      <c r="K944" s="1070" t="str">
        <f t="shared" si="72"/>
        <v>Ok</v>
      </c>
      <c r="L944" s="1077">
        <f t="shared" si="73"/>
        <v>0</v>
      </c>
      <c r="M944" s="1091">
        <f>+H944/'Parametros Generales'!$C$8</f>
        <v>0</v>
      </c>
      <c r="N944" s="1098"/>
      <c r="O944" s="1098"/>
      <c r="P944" s="1098"/>
      <c r="Q944" s="1098"/>
      <c r="R944" s="1098">
        <f>+(M944/'Parametros Generales'!$C$9)</f>
        <v>0</v>
      </c>
      <c r="S944" s="395"/>
      <c r="T944" s="395"/>
      <c r="U944" s="395"/>
      <c r="V944" s="396"/>
      <c r="W944" s="376">
        <f>+R944*'Componentes T.H.'!$Q$9*'Parametros Generales'!$C$6</f>
        <v>0</v>
      </c>
      <c r="X944" s="376">
        <f>(+VLOOKUP(C944,'Transporte y Viaticos'!$B$87:$L$120,2,0)*'Parametros Generales'!$C$7*R944)*(2/3)</f>
        <v>0</v>
      </c>
      <c r="Y944" s="417"/>
      <c r="Z944" s="417"/>
      <c r="AA944" s="417"/>
      <c r="AB944" s="417">
        <f>+M944*'Parametros Generales'!$C$6*'Parametros Generales'!$J$9</f>
        <v>0</v>
      </c>
      <c r="AC944" s="417">
        <f>+H944*'Parametros Generales'!$J$10*'Parametros Generales'!$C$6*'Parametros Generales'!$C$11</f>
        <v>0</v>
      </c>
      <c r="AD944" s="417"/>
      <c r="AE944" s="417"/>
      <c r="AF944" s="417"/>
      <c r="AG944" s="417"/>
      <c r="AH944" s="417"/>
      <c r="AI944" s="417"/>
      <c r="AJ944" s="417"/>
      <c r="AK944" s="436"/>
      <c r="AL944" s="822"/>
    </row>
    <row r="945" spans="1:38" s="33" customFormat="1" hidden="1" outlineLevel="1">
      <c r="A945" s="1150"/>
      <c r="B945" s="823">
        <f t="shared" si="76"/>
        <v>68</v>
      </c>
      <c r="C945" s="373" t="str">
        <f t="shared" si="77"/>
        <v>SANTANDER</v>
      </c>
      <c r="D945" s="374"/>
      <c r="E945" s="1113"/>
      <c r="F945" s="1104"/>
      <c r="G945" s="375"/>
      <c r="H945" s="1062"/>
      <c r="I945" s="1057"/>
      <c r="J945" s="1058"/>
      <c r="K945" s="1070" t="str">
        <f t="shared" si="72"/>
        <v>Ok</v>
      </c>
      <c r="L945" s="1077">
        <f t="shared" si="73"/>
        <v>0</v>
      </c>
      <c r="M945" s="1091">
        <f>+H945/'Parametros Generales'!$C$8</f>
        <v>0</v>
      </c>
      <c r="N945" s="1098"/>
      <c r="O945" s="1098"/>
      <c r="P945" s="1098"/>
      <c r="Q945" s="1098"/>
      <c r="R945" s="1098">
        <f>+(M945/'Parametros Generales'!$C$9)</f>
        <v>0</v>
      </c>
      <c r="S945" s="395"/>
      <c r="T945" s="395"/>
      <c r="U945" s="395"/>
      <c r="V945" s="396"/>
      <c r="W945" s="376">
        <f>+R945*'Componentes T.H.'!$Q$9*'Parametros Generales'!$C$6</f>
        <v>0</v>
      </c>
      <c r="X945" s="376">
        <f>(+VLOOKUP(C945,'Transporte y Viaticos'!$B$87:$L$120,2,0)*'Parametros Generales'!$C$7*R945)*(2/3)</f>
        <v>0</v>
      </c>
      <c r="Y945" s="417"/>
      <c r="Z945" s="417"/>
      <c r="AA945" s="417"/>
      <c r="AB945" s="417">
        <f>+M945*'Parametros Generales'!$C$6*'Parametros Generales'!$J$9</f>
        <v>0</v>
      </c>
      <c r="AC945" s="417">
        <f>+H945*'Parametros Generales'!$J$10*'Parametros Generales'!$C$6*'Parametros Generales'!$C$11</f>
        <v>0</v>
      </c>
      <c r="AD945" s="417"/>
      <c r="AE945" s="417"/>
      <c r="AF945" s="417"/>
      <c r="AG945" s="417"/>
      <c r="AH945" s="417"/>
      <c r="AI945" s="417"/>
      <c r="AJ945" s="417"/>
      <c r="AK945" s="436"/>
      <c r="AL945" s="822"/>
    </row>
    <row r="946" spans="1:38" s="33" customFormat="1" hidden="1" outlineLevel="1">
      <c r="A946" s="1150"/>
      <c r="B946" s="823">
        <f t="shared" si="76"/>
        <v>68</v>
      </c>
      <c r="C946" s="373" t="str">
        <f t="shared" si="77"/>
        <v>SANTANDER</v>
      </c>
      <c r="D946" s="374"/>
      <c r="E946" s="1113"/>
      <c r="F946" s="1104"/>
      <c r="G946" s="375"/>
      <c r="H946" s="1062"/>
      <c r="I946" s="1057"/>
      <c r="J946" s="1058"/>
      <c r="K946" s="1070" t="str">
        <f t="shared" si="72"/>
        <v>Ok</v>
      </c>
      <c r="L946" s="1077">
        <f t="shared" si="73"/>
        <v>0</v>
      </c>
      <c r="M946" s="1091">
        <f>+H946/'Parametros Generales'!$C$8</f>
        <v>0</v>
      </c>
      <c r="N946" s="1098"/>
      <c r="O946" s="1098"/>
      <c r="P946" s="1098"/>
      <c r="Q946" s="1098"/>
      <c r="R946" s="1098">
        <f>+(M946/'Parametros Generales'!$C$9)</f>
        <v>0</v>
      </c>
      <c r="S946" s="395"/>
      <c r="T946" s="395"/>
      <c r="U946" s="395"/>
      <c r="V946" s="396"/>
      <c r="W946" s="376">
        <f>+R946*'Componentes T.H.'!$Q$9*'Parametros Generales'!$C$6</f>
        <v>0</v>
      </c>
      <c r="X946" s="376">
        <f>(+VLOOKUP(C946,'Transporte y Viaticos'!$B$87:$L$120,2,0)*'Parametros Generales'!$C$7*R946)*(2/3)</f>
        <v>0</v>
      </c>
      <c r="Y946" s="417"/>
      <c r="Z946" s="417"/>
      <c r="AA946" s="417"/>
      <c r="AB946" s="417">
        <f>+M946*'Parametros Generales'!$C$6*'Parametros Generales'!$J$9</f>
        <v>0</v>
      </c>
      <c r="AC946" s="417">
        <f>+H946*'Parametros Generales'!$J$10*'Parametros Generales'!$C$6*'Parametros Generales'!$C$11</f>
        <v>0</v>
      </c>
      <c r="AD946" s="417"/>
      <c r="AE946" s="417"/>
      <c r="AF946" s="417"/>
      <c r="AG946" s="417"/>
      <c r="AH946" s="417"/>
      <c r="AI946" s="417"/>
      <c r="AJ946" s="417"/>
      <c r="AK946" s="436"/>
      <c r="AL946" s="822"/>
    </row>
    <row r="947" spans="1:38" s="33" customFormat="1" hidden="1" outlineLevel="1">
      <c r="A947" s="1150"/>
      <c r="B947" s="823">
        <f t="shared" si="76"/>
        <v>68</v>
      </c>
      <c r="C947" s="373" t="str">
        <f t="shared" si="77"/>
        <v>SANTANDER</v>
      </c>
      <c r="D947" s="374"/>
      <c r="E947" s="1113"/>
      <c r="F947" s="1104"/>
      <c r="G947" s="375"/>
      <c r="H947" s="1062"/>
      <c r="I947" s="1057"/>
      <c r="J947" s="1058"/>
      <c r="K947" s="1070" t="str">
        <f t="shared" si="72"/>
        <v>Ok</v>
      </c>
      <c r="L947" s="1077">
        <f t="shared" si="73"/>
        <v>0</v>
      </c>
      <c r="M947" s="1091">
        <f>+H947/'Parametros Generales'!$C$8</f>
        <v>0</v>
      </c>
      <c r="N947" s="1098"/>
      <c r="O947" s="1098"/>
      <c r="P947" s="1098"/>
      <c r="Q947" s="1098"/>
      <c r="R947" s="1098">
        <f>+(M947/'Parametros Generales'!$C$9)</f>
        <v>0</v>
      </c>
      <c r="S947" s="395"/>
      <c r="T947" s="395"/>
      <c r="U947" s="395"/>
      <c r="V947" s="396"/>
      <c r="W947" s="376">
        <f>+R947*'Componentes T.H.'!$Q$9*'Parametros Generales'!$C$6</f>
        <v>0</v>
      </c>
      <c r="X947" s="376">
        <f>(+VLOOKUP(C947,'Transporte y Viaticos'!$B$87:$L$120,2,0)*'Parametros Generales'!$C$7*R947)*(2/3)</f>
        <v>0</v>
      </c>
      <c r="Y947" s="417"/>
      <c r="Z947" s="417"/>
      <c r="AA947" s="417"/>
      <c r="AB947" s="417">
        <f>+M947*'Parametros Generales'!$C$6*'Parametros Generales'!$J$9</f>
        <v>0</v>
      </c>
      <c r="AC947" s="417">
        <f>+H947*'Parametros Generales'!$J$10*'Parametros Generales'!$C$6*'Parametros Generales'!$C$11</f>
        <v>0</v>
      </c>
      <c r="AD947" s="417"/>
      <c r="AE947" s="417"/>
      <c r="AF947" s="417"/>
      <c r="AG947" s="417"/>
      <c r="AH947" s="417"/>
      <c r="AI947" s="417"/>
      <c r="AJ947" s="417"/>
      <c r="AK947" s="436"/>
      <c r="AL947" s="822"/>
    </row>
    <row r="948" spans="1:38" s="33" customFormat="1" hidden="1" outlineLevel="1">
      <c r="A948" s="1150"/>
      <c r="B948" s="823">
        <f t="shared" si="76"/>
        <v>68</v>
      </c>
      <c r="C948" s="373" t="str">
        <f t="shared" si="77"/>
        <v>SANTANDER</v>
      </c>
      <c r="D948" s="374"/>
      <c r="E948" s="1113"/>
      <c r="F948" s="1104"/>
      <c r="G948" s="375"/>
      <c r="H948" s="1062"/>
      <c r="I948" s="1057"/>
      <c r="J948" s="1058"/>
      <c r="K948" s="1070" t="str">
        <f t="shared" si="72"/>
        <v>Ok</v>
      </c>
      <c r="L948" s="1077">
        <f t="shared" si="73"/>
        <v>0</v>
      </c>
      <c r="M948" s="1091">
        <f>+H948/'Parametros Generales'!$C$8</f>
        <v>0</v>
      </c>
      <c r="N948" s="1098"/>
      <c r="O948" s="1098"/>
      <c r="P948" s="1098"/>
      <c r="Q948" s="1098"/>
      <c r="R948" s="1098">
        <f>+(M948/'Parametros Generales'!$C$9)</f>
        <v>0</v>
      </c>
      <c r="S948" s="395"/>
      <c r="T948" s="395"/>
      <c r="U948" s="395"/>
      <c r="V948" s="396"/>
      <c r="W948" s="376">
        <f>+R948*'Componentes T.H.'!$Q$9*'Parametros Generales'!$C$6</f>
        <v>0</v>
      </c>
      <c r="X948" s="376">
        <f>(+VLOOKUP(C948,'Transporte y Viaticos'!$B$87:$L$120,2,0)*'Parametros Generales'!$C$7*R948)*(2/3)</f>
        <v>0</v>
      </c>
      <c r="Y948" s="417"/>
      <c r="Z948" s="417"/>
      <c r="AA948" s="417"/>
      <c r="AB948" s="417">
        <f>+M948*'Parametros Generales'!$C$6*'Parametros Generales'!$J$9</f>
        <v>0</v>
      </c>
      <c r="AC948" s="417">
        <f>+H948*'Parametros Generales'!$J$10*'Parametros Generales'!$C$6*'Parametros Generales'!$C$11</f>
        <v>0</v>
      </c>
      <c r="AD948" s="417"/>
      <c r="AE948" s="417"/>
      <c r="AF948" s="417"/>
      <c r="AG948" s="417"/>
      <c r="AH948" s="417"/>
      <c r="AI948" s="417"/>
      <c r="AJ948" s="417"/>
      <c r="AK948" s="436"/>
      <c r="AL948" s="822"/>
    </row>
    <row r="949" spans="1:38" s="33" customFormat="1" hidden="1" outlineLevel="1">
      <c r="A949" s="1150"/>
      <c r="B949" s="823">
        <f t="shared" si="76"/>
        <v>68</v>
      </c>
      <c r="C949" s="373" t="str">
        <f t="shared" si="77"/>
        <v>SANTANDER</v>
      </c>
      <c r="D949" s="374"/>
      <c r="E949" s="1113"/>
      <c r="F949" s="1104"/>
      <c r="G949" s="375"/>
      <c r="H949" s="1062"/>
      <c r="I949" s="1057"/>
      <c r="J949" s="1058"/>
      <c r="K949" s="1070" t="str">
        <f t="shared" si="72"/>
        <v>Ok</v>
      </c>
      <c r="L949" s="1077">
        <f t="shared" si="73"/>
        <v>0</v>
      </c>
      <c r="M949" s="1091">
        <f>+H949/'Parametros Generales'!$C$8</f>
        <v>0</v>
      </c>
      <c r="N949" s="1098"/>
      <c r="O949" s="1098"/>
      <c r="P949" s="1098"/>
      <c r="Q949" s="1098"/>
      <c r="R949" s="1098">
        <f>+(M949/'Parametros Generales'!$C$9)</f>
        <v>0</v>
      </c>
      <c r="S949" s="395"/>
      <c r="T949" s="395"/>
      <c r="U949" s="395"/>
      <c r="V949" s="396"/>
      <c r="W949" s="376">
        <f>+R949*'Componentes T.H.'!$Q$9*'Parametros Generales'!$C$6</f>
        <v>0</v>
      </c>
      <c r="X949" s="376">
        <f>(+VLOOKUP(C949,'Transporte y Viaticos'!$B$87:$L$120,2,0)*'Parametros Generales'!$C$7*R949)*(2/3)</f>
        <v>0</v>
      </c>
      <c r="Y949" s="417"/>
      <c r="Z949" s="417"/>
      <c r="AA949" s="417"/>
      <c r="AB949" s="417">
        <f>+M949*'Parametros Generales'!$C$6*'Parametros Generales'!$J$9</f>
        <v>0</v>
      </c>
      <c r="AC949" s="417">
        <f>+H949*'Parametros Generales'!$J$10*'Parametros Generales'!$C$6*'Parametros Generales'!$C$11</f>
        <v>0</v>
      </c>
      <c r="AD949" s="417"/>
      <c r="AE949" s="417"/>
      <c r="AF949" s="417"/>
      <c r="AG949" s="417"/>
      <c r="AH949" s="417"/>
      <c r="AI949" s="417"/>
      <c r="AJ949" s="417"/>
      <c r="AK949" s="436"/>
      <c r="AL949" s="822"/>
    </row>
    <row r="950" spans="1:38" s="33" customFormat="1" hidden="1" outlineLevel="1">
      <c r="A950" s="1150"/>
      <c r="B950" s="823">
        <f t="shared" si="76"/>
        <v>68</v>
      </c>
      <c r="C950" s="373" t="str">
        <f t="shared" si="77"/>
        <v>SANTANDER</v>
      </c>
      <c r="D950" s="374"/>
      <c r="E950" s="1113"/>
      <c r="F950" s="1104"/>
      <c r="G950" s="375"/>
      <c r="H950" s="1062"/>
      <c r="I950" s="1057"/>
      <c r="J950" s="1058"/>
      <c r="K950" s="1070" t="str">
        <f t="shared" si="72"/>
        <v>Ok</v>
      </c>
      <c r="L950" s="1077">
        <f t="shared" si="73"/>
        <v>0</v>
      </c>
      <c r="M950" s="1091">
        <f>+H950/'Parametros Generales'!$C$8</f>
        <v>0</v>
      </c>
      <c r="N950" s="1098"/>
      <c r="O950" s="1098"/>
      <c r="P950" s="1098"/>
      <c r="Q950" s="1098"/>
      <c r="R950" s="1098">
        <f>+(M950/'Parametros Generales'!$C$9)</f>
        <v>0</v>
      </c>
      <c r="S950" s="395"/>
      <c r="T950" s="395"/>
      <c r="U950" s="395"/>
      <c r="V950" s="396"/>
      <c r="W950" s="376">
        <f>+R950*'Componentes T.H.'!$Q$9*'Parametros Generales'!$C$6</f>
        <v>0</v>
      </c>
      <c r="X950" s="376">
        <f>(+VLOOKUP(C950,'Transporte y Viaticos'!$B$87:$L$120,2,0)*'Parametros Generales'!$C$7*R950)*(2/3)</f>
        <v>0</v>
      </c>
      <c r="Y950" s="417"/>
      <c r="Z950" s="417"/>
      <c r="AA950" s="417"/>
      <c r="AB950" s="417">
        <f>+M950*'Parametros Generales'!$C$6*'Parametros Generales'!$J$9</f>
        <v>0</v>
      </c>
      <c r="AC950" s="417">
        <f>+H950*'Parametros Generales'!$J$10*'Parametros Generales'!$C$6*'Parametros Generales'!$C$11</f>
        <v>0</v>
      </c>
      <c r="AD950" s="417"/>
      <c r="AE950" s="417"/>
      <c r="AF950" s="417"/>
      <c r="AG950" s="417"/>
      <c r="AH950" s="417"/>
      <c r="AI950" s="417"/>
      <c r="AJ950" s="417"/>
      <c r="AK950" s="436"/>
      <c r="AL950" s="822"/>
    </row>
    <row r="951" spans="1:38" s="33" customFormat="1" hidden="1" outlineLevel="1">
      <c r="A951" s="1150"/>
      <c r="B951" s="823">
        <f t="shared" si="76"/>
        <v>68</v>
      </c>
      <c r="C951" s="373" t="str">
        <f t="shared" si="77"/>
        <v>SANTANDER</v>
      </c>
      <c r="D951" s="374"/>
      <c r="E951" s="1113"/>
      <c r="F951" s="1104"/>
      <c r="G951" s="375"/>
      <c r="H951" s="1062"/>
      <c r="I951" s="1057"/>
      <c r="J951" s="1058"/>
      <c r="K951" s="1070" t="str">
        <f t="shared" si="72"/>
        <v>Ok</v>
      </c>
      <c r="L951" s="1077">
        <f t="shared" si="73"/>
        <v>0</v>
      </c>
      <c r="M951" s="1091">
        <f>+H951/'Parametros Generales'!$C$8</f>
        <v>0</v>
      </c>
      <c r="N951" s="1098"/>
      <c r="O951" s="1098"/>
      <c r="P951" s="1098"/>
      <c r="Q951" s="1098"/>
      <c r="R951" s="1098">
        <f>+(M951/'Parametros Generales'!$C$9)</f>
        <v>0</v>
      </c>
      <c r="S951" s="395"/>
      <c r="T951" s="395"/>
      <c r="U951" s="395"/>
      <c r="V951" s="396"/>
      <c r="W951" s="376">
        <f>+R951*'Componentes T.H.'!$Q$9*'Parametros Generales'!$C$6</f>
        <v>0</v>
      </c>
      <c r="X951" s="376">
        <f>(+VLOOKUP(C951,'Transporte y Viaticos'!$B$87:$L$120,2,0)*'Parametros Generales'!$C$7*R951)*(2/3)</f>
        <v>0</v>
      </c>
      <c r="Y951" s="417"/>
      <c r="Z951" s="417"/>
      <c r="AA951" s="417"/>
      <c r="AB951" s="417">
        <f>+M951*'Parametros Generales'!$C$6*'Parametros Generales'!$J$9</f>
        <v>0</v>
      </c>
      <c r="AC951" s="417">
        <f>+H951*'Parametros Generales'!$J$10*'Parametros Generales'!$C$6*'Parametros Generales'!$C$11</f>
        <v>0</v>
      </c>
      <c r="AD951" s="417"/>
      <c r="AE951" s="417"/>
      <c r="AF951" s="417"/>
      <c r="AG951" s="417"/>
      <c r="AH951" s="417"/>
      <c r="AI951" s="417"/>
      <c r="AJ951" s="417"/>
      <c r="AK951" s="436"/>
      <c r="AL951" s="822"/>
    </row>
    <row r="952" spans="1:38" s="33" customFormat="1" hidden="1" outlineLevel="1">
      <c r="A952" s="1150"/>
      <c r="B952" s="823">
        <f t="shared" si="76"/>
        <v>68</v>
      </c>
      <c r="C952" s="373" t="str">
        <f t="shared" si="77"/>
        <v>SANTANDER</v>
      </c>
      <c r="D952" s="374"/>
      <c r="E952" s="1113"/>
      <c r="F952" s="1104"/>
      <c r="G952" s="375"/>
      <c r="H952" s="1062"/>
      <c r="I952" s="1057"/>
      <c r="J952" s="1058"/>
      <c r="K952" s="1070" t="str">
        <f t="shared" si="72"/>
        <v>Ok</v>
      </c>
      <c r="L952" s="1077">
        <f t="shared" si="73"/>
        <v>0</v>
      </c>
      <c r="M952" s="1091">
        <f>+H952/'Parametros Generales'!$C$8</f>
        <v>0</v>
      </c>
      <c r="N952" s="1098"/>
      <c r="O952" s="1098"/>
      <c r="P952" s="1098"/>
      <c r="Q952" s="1098"/>
      <c r="R952" s="1098">
        <f>+(M952/'Parametros Generales'!$C$9)</f>
        <v>0</v>
      </c>
      <c r="S952" s="395"/>
      <c r="T952" s="395"/>
      <c r="U952" s="395"/>
      <c r="V952" s="396"/>
      <c r="W952" s="376">
        <f>+R952*'Componentes T.H.'!$Q$9*'Parametros Generales'!$C$6</f>
        <v>0</v>
      </c>
      <c r="X952" s="376">
        <f>(+VLOOKUP(C952,'Transporte y Viaticos'!$B$87:$L$120,2,0)*'Parametros Generales'!$C$7*R952)*(2/3)</f>
        <v>0</v>
      </c>
      <c r="Y952" s="417"/>
      <c r="Z952" s="417"/>
      <c r="AA952" s="417"/>
      <c r="AB952" s="417">
        <f>+M952*'Parametros Generales'!$C$6*'Parametros Generales'!$J$9</f>
        <v>0</v>
      </c>
      <c r="AC952" s="417">
        <f>+H952*'Parametros Generales'!$J$10*'Parametros Generales'!$C$6*'Parametros Generales'!$C$11</f>
        <v>0</v>
      </c>
      <c r="AD952" s="417"/>
      <c r="AE952" s="417"/>
      <c r="AF952" s="417"/>
      <c r="AG952" s="417"/>
      <c r="AH952" s="417"/>
      <c r="AI952" s="417"/>
      <c r="AJ952" s="417"/>
      <c r="AK952" s="436"/>
      <c r="AL952" s="822"/>
    </row>
    <row r="953" spans="1:38" s="392" customFormat="1" collapsed="1">
      <c r="A953" s="1151">
        <v>23</v>
      </c>
      <c r="B953" s="824">
        <v>70</v>
      </c>
      <c r="C953" s="385" t="s">
        <v>604</v>
      </c>
      <c r="D953" s="386"/>
      <c r="E953" s="1114" t="s">
        <v>604</v>
      </c>
      <c r="F953" s="1105">
        <f>SUM(F954:F979)</f>
        <v>26</v>
      </c>
      <c r="G953" s="388">
        <f>+SUM(G954:G979)</f>
        <v>5940</v>
      </c>
      <c r="H953" s="512">
        <f>+SUM(H954:H992)</f>
        <v>6000</v>
      </c>
      <c r="I953" s="1057" t="s">
        <v>604</v>
      </c>
      <c r="J953" s="1067">
        <v>6000</v>
      </c>
      <c r="K953" s="1069" t="str">
        <f t="shared" si="72"/>
        <v>Ok</v>
      </c>
      <c r="L953" s="1077">
        <f t="shared" si="73"/>
        <v>0</v>
      </c>
      <c r="M953" s="512">
        <f>+SUM(M954:M992)</f>
        <v>240</v>
      </c>
      <c r="N953" s="1073">
        <f>+VLOOKUP(H953,'Parametros Generales'!$B$14:$D$17,3,TRUE)</f>
        <v>0.8</v>
      </c>
      <c r="O953" s="1073">
        <f>+VLOOKUP(H953,'Parametros Generales'!$B$14:$D$17,3,TRUE)</f>
        <v>0.8</v>
      </c>
      <c r="P953" s="1073">
        <f>+VLOOKUP(H953,'Parametros Generales'!$B$14:$D$17,3,TRUE)</f>
        <v>0.8</v>
      </c>
      <c r="Q953" s="1073">
        <f>+R953/'Parametros Generales'!$C$10</f>
        <v>7.5</v>
      </c>
      <c r="R953" s="512">
        <f>+SUM(R954:R992)</f>
        <v>60</v>
      </c>
      <c r="S953" s="390">
        <f>+VLOOKUP(S$1,'Componentes T.H.'!$B$4:$R$22,'Componentes T.H.'!$Q$1,0)*'Parametros Generales'!$C$6*'Cost x Depart'!N953</f>
        <v>11725411.310133336</v>
      </c>
      <c r="T953" s="390">
        <f>+VLOOKUP(T$1,'Componentes T.H.'!$B$4:$R$22,'Componentes T.H.'!$Q$1,0)*'Parametros Generales'!$C$6*'Cost x Depart'!O953</f>
        <v>8835052.5272000004</v>
      </c>
      <c r="U953" s="390">
        <f>+VLOOKUP(U$1,'Componentes T.H.'!$B$4:$R$22,'Componentes T.H.'!$Q$1,0)*'Parametros Generales'!$C$6*'Cost x Depart'!P953</f>
        <v>3912345.6000000001</v>
      </c>
      <c r="V953" s="389">
        <f>+VLOOKUP(V$1,'Componentes T.H.'!$B$4:$R$22,'Componentes T.H.'!$Q$1,0)*'Parametros Generales'!$C$6*'Cost x Depart'!Q953</f>
        <v>74932856.507499993</v>
      </c>
      <c r="W953" s="512">
        <f>+SUM(W954:W992)</f>
        <v>301110424.25999999</v>
      </c>
      <c r="X953" s="512">
        <f>+SUM(X954:X992)</f>
        <v>46706307.290430672</v>
      </c>
      <c r="Y953" s="391">
        <f>+VLOOKUP(C954,'Transporte y Viaticos'!$B$87:$F$120,2,0)*((O953/'Parametros Generales'!$J$14)+(Q953/'Parametros Generales'!$J$15)+(R953/'Parametros Generales'!$J$16))*'Parametros Generales'!$C$6</f>
        <v>2236064.4615293685</v>
      </c>
      <c r="Z953" s="391">
        <f>+(N953+O953+Q953)*'Parametros Generales'!$C$6*'Parametros Generales'!$J$7</f>
        <v>1789242</v>
      </c>
      <c r="AA953" s="391">
        <f>+SUM(N953:R953)*'Parametros Generales'!$C$6*'Parametros Generales'!$J$8</f>
        <v>12547050</v>
      </c>
      <c r="AB953" s="512">
        <f>+SUM(AB954:AB992)</f>
        <v>116858181.8181819</v>
      </c>
      <c r="AC953" s="512">
        <f>+SUM(AC954:AC992)</f>
        <v>442154963.02204889</v>
      </c>
      <c r="AD953" s="391">
        <f>+'Parametros Generales'!$J$11*SUM(N953:R953)</f>
        <v>2351436</v>
      </c>
      <c r="AE953" s="436">
        <f>+SUM(S953:AD953)</f>
        <v>1025159334.7970243</v>
      </c>
      <c r="AF953" s="391">
        <f>+AE953*(SUM('Res de Costos Pais'!G117:G117))</f>
        <v>70223414.433596164</v>
      </c>
      <c r="AG953" s="391">
        <f>+AE953+AF953</f>
        <v>1095382749.2306204</v>
      </c>
      <c r="AH953" s="391">
        <f>+AG953*SUM('Res de Costos Pais'!$G$123:$G$124)</f>
        <v>10581397.357567793</v>
      </c>
      <c r="AI953" s="391">
        <f>+(AG953+AH953)*'Res de Costos Pais'!$G$136</f>
        <v>2986103.1957881083</v>
      </c>
      <c r="AJ953" s="391">
        <f>+(AG953+AH953+AI953)*'Res de Costos Pais'!$G$140</f>
        <v>4435800.9991359049</v>
      </c>
      <c r="AK953" s="391">
        <f>+AG953+AH953+AI953+AJ953</f>
        <v>1113386050.7831123</v>
      </c>
      <c r="AL953" s="820">
        <f>IF(ISERROR((+(AK953/H953)/'Parametros Generales'!$C$6)),0,(+(AK953/H953)/'Parametros Generales'!$C$6))</f>
        <v>37112.868359437081</v>
      </c>
    </row>
    <row r="954" spans="1:38" s="33" customFormat="1" hidden="1" outlineLevel="1">
      <c r="A954" s="1150"/>
      <c r="B954" s="819">
        <v>70</v>
      </c>
      <c r="C954" s="377" t="s">
        <v>604</v>
      </c>
      <c r="D954" s="378">
        <f>+VLOOKUP(E954,Codigos!$A$1:$B$1123,2,0)</f>
        <v>70001</v>
      </c>
      <c r="E954" s="1110" t="s">
        <v>2181</v>
      </c>
      <c r="F954" s="1102">
        <v>1</v>
      </c>
      <c r="G954" s="379">
        <v>792</v>
      </c>
      <c r="H954" s="1060">
        <f>CEILING(G954,'Parametros Generales'!$C$8)</f>
        <v>800</v>
      </c>
      <c r="I954" s="1057" t="s">
        <v>605</v>
      </c>
      <c r="J954" s="1058">
        <v>800</v>
      </c>
      <c r="K954" s="1070" t="str">
        <f t="shared" si="72"/>
        <v>Ok</v>
      </c>
      <c r="L954" s="1077">
        <f t="shared" si="73"/>
        <v>0</v>
      </c>
      <c r="M954" s="1089">
        <f>+H954/'Parametros Generales'!$C$8</f>
        <v>32</v>
      </c>
      <c r="N954" s="1096"/>
      <c r="O954" s="1096"/>
      <c r="P954" s="1096"/>
      <c r="Q954" s="1096"/>
      <c r="R954" s="1096">
        <f>+(M954/'Parametros Generales'!$C$9)</f>
        <v>8</v>
      </c>
      <c r="S954" s="393"/>
      <c r="T954" s="393"/>
      <c r="U954" s="393"/>
      <c r="V954" s="394"/>
      <c r="W954" s="380">
        <f>+R954*'Componentes T.H.'!$Q$9*'Parametros Generales'!$C$6</f>
        <v>40148056.568000004</v>
      </c>
      <c r="X954" s="380">
        <f>(+VLOOKUP(C954,'Transporte y Viaticos'!$B$87:$L$120,2,0)*'Parametros Generales'!$C$7*R954)*(2/3)</f>
        <v>6227507.6387240896</v>
      </c>
      <c r="Y954" s="417"/>
      <c r="Z954" s="417"/>
      <c r="AA954" s="417"/>
      <c r="AB954" s="417">
        <f>+M954*'Parametros Generales'!$C$6*'Parametros Generales'!$J$9</f>
        <v>15581090.909090914</v>
      </c>
      <c r="AC954" s="417">
        <f>+H954*'Parametros Generales'!$J$10*'Parametros Generales'!$C$6*'Parametros Generales'!$C$11</f>
        <v>58953995.069606498</v>
      </c>
      <c r="AD954" s="417"/>
      <c r="AE954" s="417"/>
      <c r="AF954" s="417"/>
      <c r="AG954" s="417"/>
      <c r="AH954" s="417"/>
      <c r="AI954" s="417"/>
      <c r="AJ954" s="417"/>
      <c r="AK954" s="436"/>
      <c r="AL954" s="822"/>
    </row>
    <row r="955" spans="1:38" s="33" customFormat="1" hidden="1" outlineLevel="1">
      <c r="A955" s="1150"/>
      <c r="B955" s="821">
        <v>71</v>
      </c>
      <c r="C955" s="371" t="s">
        <v>604</v>
      </c>
      <c r="D955" s="31">
        <f>+VLOOKUP(E955,Codigos!$A$1:$B$1123,2,0)</f>
        <v>70110</v>
      </c>
      <c r="E955" s="1111" t="s">
        <v>2182</v>
      </c>
      <c r="F955" s="1103">
        <v>1</v>
      </c>
      <c r="G955" s="30">
        <v>198</v>
      </c>
      <c r="H955" s="1061">
        <f>CEILING(G955,'Parametros Generales'!$C$8)</f>
        <v>200</v>
      </c>
      <c r="I955" s="1057" t="s">
        <v>606</v>
      </c>
      <c r="J955" s="1058">
        <v>200</v>
      </c>
      <c r="K955" s="1070" t="str">
        <f t="shared" si="72"/>
        <v>Ok</v>
      </c>
      <c r="L955" s="1077">
        <f t="shared" si="73"/>
        <v>0</v>
      </c>
      <c r="M955" s="1090">
        <f>+H955/'Parametros Generales'!$C$8</f>
        <v>8</v>
      </c>
      <c r="N955" s="1097"/>
      <c r="O955" s="1097"/>
      <c r="P955" s="1097"/>
      <c r="Q955" s="1097"/>
      <c r="R955" s="1097">
        <f>+(M955/'Parametros Generales'!$C$9)</f>
        <v>2</v>
      </c>
      <c r="S955" s="390"/>
      <c r="T955" s="390"/>
      <c r="U955" s="390"/>
      <c r="V955" s="389"/>
      <c r="W955" s="32">
        <f>+R955*'Componentes T.H.'!$Q$9*'Parametros Generales'!$C$6</f>
        <v>10037014.142000001</v>
      </c>
      <c r="X955" s="32">
        <f>(+VLOOKUP(C955,'Transporte y Viaticos'!$B$87:$L$120,2,0)*'Parametros Generales'!$C$7*R955)*(2/3)</f>
        <v>1556876.9096810224</v>
      </c>
      <c r="Y955" s="417"/>
      <c r="Z955" s="417"/>
      <c r="AA955" s="417"/>
      <c r="AB955" s="417">
        <f>+M955*'Parametros Generales'!$C$6*'Parametros Generales'!$J$9</f>
        <v>3895272.7272727285</v>
      </c>
      <c r="AC955" s="417">
        <f>+H955*'Parametros Generales'!$J$10*'Parametros Generales'!$C$6*'Parametros Generales'!$C$11</f>
        <v>14738498.767401624</v>
      </c>
      <c r="AD955" s="417"/>
      <c r="AE955" s="417"/>
      <c r="AF955" s="417"/>
      <c r="AG955" s="417"/>
      <c r="AH955" s="417"/>
      <c r="AI955" s="417"/>
      <c r="AJ955" s="417"/>
      <c r="AK955" s="436"/>
      <c r="AL955" s="822"/>
    </row>
    <row r="956" spans="1:38" s="33" customFormat="1" hidden="1" outlineLevel="1">
      <c r="A956" s="1150"/>
      <c r="B956" s="821">
        <v>71</v>
      </c>
      <c r="C956" s="371" t="s">
        <v>604</v>
      </c>
      <c r="D956" s="31">
        <f>+VLOOKUP(E956,Codigos!$A$1:$B$1123,2,0)</f>
        <v>70124</v>
      </c>
      <c r="E956" s="1111" t="s">
        <v>2183</v>
      </c>
      <c r="F956" s="1103">
        <v>1</v>
      </c>
      <c r="G956" s="30">
        <v>198</v>
      </c>
      <c r="H956" s="1061">
        <f>CEILING(G956,'Parametros Generales'!$C$8)</f>
        <v>200</v>
      </c>
      <c r="I956" s="1057" t="s">
        <v>607</v>
      </c>
      <c r="J956" s="1058">
        <v>200</v>
      </c>
      <c r="K956" s="1070" t="str">
        <f t="shared" si="72"/>
        <v>Ok</v>
      </c>
      <c r="L956" s="1076">
        <f t="shared" si="73"/>
        <v>0</v>
      </c>
      <c r="M956" s="1090">
        <f>+H956/'Parametros Generales'!$C$8</f>
        <v>8</v>
      </c>
      <c r="N956" s="1097"/>
      <c r="O956" s="1097"/>
      <c r="P956" s="1097"/>
      <c r="Q956" s="1097"/>
      <c r="R956" s="1097">
        <f>+(M956/'Parametros Generales'!$C$9)</f>
        <v>2</v>
      </c>
      <c r="S956" s="390"/>
      <c r="T956" s="390"/>
      <c r="U956" s="390"/>
      <c r="V956" s="389"/>
      <c r="W956" s="32">
        <f>+R956*'Componentes T.H.'!$Q$9*'Parametros Generales'!$C$6</f>
        <v>10037014.142000001</v>
      </c>
      <c r="X956" s="32">
        <f>(+VLOOKUP(C956,'Transporte y Viaticos'!$B$87:$L$120,2,0)*'Parametros Generales'!$C$7*R956)*(2/3)</f>
        <v>1556876.9096810224</v>
      </c>
      <c r="Y956" s="417"/>
      <c r="Z956" s="417"/>
      <c r="AA956" s="417"/>
      <c r="AB956" s="417">
        <f>+M956*'Parametros Generales'!$C$6*'Parametros Generales'!$J$9</f>
        <v>3895272.7272727285</v>
      </c>
      <c r="AC956" s="417">
        <f>+H956*'Parametros Generales'!$J$10*'Parametros Generales'!$C$6*'Parametros Generales'!$C$11</f>
        <v>14738498.767401624</v>
      </c>
      <c r="AD956" s="417"/>
      <c r="AE956" s="417"/>
      <c r="AF956" s="417"/>
      <c r="AG956" s="417"/>
      <c r="AH956" s="417"/>
      <c r="AI956" s="417"/>
      <c r="AJ956" s="417"/>
      <c r="AK956" s="436"/>
      <c r="AL956" s="822"/>
    </row>
    <row r="957" spans="1:38" s="33" customFormat="1" hidden="1" outlineLevel="1">
      <c r="A957" s="1150"/>
      <c r="B957" s="821">
        <v>70</v>
      </c>
      <c r="C957" s="371" t="s">
        <v>604</v>
      </c>
      <c r="D957" s="31">
        <f>+VLOOKUP(E957,Codigos!$A$1:$B$1123,2,0)</f>
        <v>70230</v>
      </c>
      <c r="E957" s="1111" t="s">
        <v>2184</v>
      </c>
      <c r="F957" s="1103">
        <v>1</v>
      </c>
      <c r="G957" s="30">
        <v>198</v>
      </c>
      <c r="H957" s="1061">
        <f>CEILING(G957,'Parametros Generales'!$C$8)</f>
        <v>200</v>
      </c>
      <c r="I957" s="1057" t="s">
        <v>608</v>
      </c>
      <c r="J957" s="1058">
        <v>200</v>
      </c>
      <c r="K957" s="1070" t="str">
        <f t="shared" si="72"/>
        <v>Ok</v>
      </c>
      <c r="L957" s="1077">
        <f t="shared" si="73"/>
        <v>0</v>
      </c>
      <c r="M957" s="1090">
        <f>+H957/'Parametros Generales'!$C$8</f>
        <v>8</v>
      </c>
      <c r="N957" s="1097"/>
      <c r="O957" s="1097"/>
      <c r="P957" s="1097"/>
      <c r="Q957" s="1097"/>
      <c r="R957" s="1097">
        <f>+(M957/'Parametros Generales'!$C$9)</f>
        <v>2</v>
      </c>
      <c r="S957" s="390"/>
      <c r="T957" s="390"/>
      <c r="U957" s="390"/>
      <c r="V957" s="389"/>
      <c r="W957" s="32">
        <f>+R957*'Componentes T.H.'!$Q$9*'Parametros Generales'!$C$6</f>
        <v>10037014.142000001</v>
      </c>
      <c r="X957" s="32">
        <f>(+VLOOKUP(C957,'Transporte y Viaticos'!$B$87:$L$120,2,0)*'Parametros Generales'!$C$7*R957)*(2/3)</f>
        <v>1556876.9096810224</v>
      </c>
      <c r="Y957" s="417"/>
      <c r="Z957" s="417"/>
      <c r="AA957" s="417"/>
      <c r="AB957" s="417">
        <f>+M957*'Parametros Generales'!$C$6*'Parametros Generales'!$J$9</f>
        <v>3895272.7272727285</v>
      </c>
      <c r="AC957" s="417">
        <f>+H957*'Parametros Generales'!$J$10*'Parametros Generales'!$C$6*'Parametros Generales'!$C$11</f>
        <v>14738498.767401624</v>
      </c>
      <c r="AD957" s="417"/>
      <c r="AE957" s="417"/>
      <c r="AF957" s="417"/>
      <c r="AG957" s="417"/>
      <c r="AH957" s="417"/>
      <c r="AI957" s="417"/>
      <c r="AJ957" s="417"/>
      <c r="AK957" s="436"/>
      <c r="AL957" s="822"/>
    </row>
    <row r="958" spans="1:38" s="33" customFormat="1" hidden="1" outlineLevel="1">
      <c r="A958" s="1150"/>
      <c r="B958" s="821">
        <v>70</v>
      </c>
      <c r="C958" s="371" t="s">
        <v>604</v>
      </c>
      <c r="D958" s="31">
        <f>+VLOOKUP(E958,Codigos!$A$1:$B$1123,2,0)</f>
        <v>70204</v>
      </c>
      <c r="E958" s="1112" t="s">
        <v>2185</v>
      </c>
      <c r="F958" s="1103">
        <v>1</v>
      </c>
      <c r="G958" s="30">
        <v>198</v>
      </c>
      <c r="H958" s="1061">
        <f>CEILING(G958,'Parametros Generales'!$C$8)</f>
        <v>200</v>
      </c>
      <c r="I958" s="1059" t="s">
        <v>609</v>
      </c>
      <c r="J958" s="1058">
        <v>200</v>
      </c>
      <c r="K958" s="1070" t="str">
        <f t="shared" si="72"/>
        <v>Ok</v>
      </c>
      <c r="L958" s="1077">
        <f t="shared" si="73"/>
        <v>0</v>
      </c>
      <c r="M958" s="1090">
        <f>+H958/'Parametros Generales'!$C$8</f>
        <v>8</v>
      </c>
      <c r="N958" s="1097"/>
      <c r="O958" s="1097"/>
      <c r="P958" s="1097"/>
      <c r="Q958" s="1097"/>
      <c r="R958" s="1097">
        <f>+(M958/'Parametros Generales'!$C$9)</f>
        <v>2</v>
      </c>
      <c r="S958" s="390"/>
      <c r="T958" s="390"/>
      <c r="U958" s="390"/>
      <c r="V958" s="389"/>
      <c r="W958" s="32">
        <f>+R958*'Componentes T.H.'!$Q$9*'Parametros Generales'!$C$6</f>
        <v>10037014.142000001</v>
      </c>
      <c r="X958" s="32">
        <f>(+VLOOKUP(C958,'Transporte y Viaticos'!$B$87:$L$120,2,0)*'Parametros Generales'!$C$7*R958)*(2/3)</f>
        <v>1556876.9096810224</v>
      </c>
      <c r="Y958" s="417"/>
      <c r="Z958" s="417"/>
      <c r="AA958" s="417"/>
      <c r="AB958" s="417">
        <f>+M958*'Parametros Generales'!$C$6*'Parametros Generales'!$J$9</f>
        <v>3895272.7272727285</v>
      </c>
      <c r="AC958" s="417">
        <f>+H958*'Parametros Generales'!$J$10*'Parametros Generales'!$C$6*'Parametros Generales'!$C$11</f>
        <v>14738498.767401624</v>
      </c>
      <c r="AD958" s="417"/>
      <c r="AE958" s="417"/>
      <c r="AF958" s="417"/>
      <c r="AG958" s="417"/>
      <c r="AH958" s="417"/>
      <c r="AI958" s="417"/>
      <c r="AJ958" s="417"/>
      <c r="AK958" s="436"/>
      <c r="AL958" s="822"/>
    </row>
    <row r="959" spans="1:38" s="33" customFormat="1" hidden="1" outlineLevel="1">
      <c r="A959" s="1150"/>
      <c r="B959" s="821">
        <v>70</v>
      </c>
      <c r="C959" s="371" t="s">
        <v>604</v>
      </c>
      <c r="D959" s="31">
        <f>+VLOOKUP(E959,Codigos!$A$1:$B$1123,2,0)</f>
        <v>70215</v>
      </c>
      <c r="E959" s="1111" t="s">
        <v>2186</v>
      </c>
      <c r="F959" s="1103">
        <v>1</v>
      </c>
      <c r="G959" s="30">
        <v>198</v>
      </c>
      <c r="H959" s="1061">
        <f>CEILING(G959,'Parametros Generales'!$C$8)</f>
        <v>200</v>
      </c>
      <c r="I959" s="1057" t="s">
        <v>610</v>
      </c>
      <c r="J959" s="1058">
        <v>200</v>
      </c>
      <c r="K959" s="1070" t="str">
        <f t="shared" si="72"/>
        <v>Ok</v>
      </c>
      <c r="L959" s="1077">
        <f t="shared" si="73"/>
        <v>0</v>
      </c>
      <c r="M959" s="1090">
        <f>+H959/'Parametros Generales'!$C$8</f>
        <v>8</v>
      </c>
      <c r="N959" s="1097"/>
      <c r="O959" s="1097"/>
      <c r="P959" s="1097"/>
      <c r="Q959" s="1097"/>
      <c r="R959" s="1097">
        <f>+(M959/'Parametros Generales'!$C$9)</f>
        <v>2</v>
      </c>
      <c r="S959" s="390"/>
      <c r="T959" s="390"/>
      <c r="U959" s="390"/>
      <c r="V959" s="389"/>
      <c r="W959" s="32">
        <f>+R959*'Componentes T.H.'!$Q$9*'Parametros Generales'!$C$6</f>
        <v>10037014.142000001</v>
      </c>
      <c r="X959" s="32">
        <f>(+VLOOKUP(C959,'Transporte y Viaticos'!$B$87:$L$120,2,0)*'Parametros Generales'!$C$7*R959)*(2/3)</f>
        <v>1556876.9096810224</v>
      </c>
      <c r="Y959" s="417"/>
      <c r="Z959" s="417"/>
      <c r="AA959" s="417"/>
      <c r="AB959" s="417">
        <f>+M959*'Parametros Generales'!$C$6*'Parametros Generales'!$J$9</f>
        <v>3895272.7272727285</v>
      </c>
      <c r="AC959" s="417">
        <f>+H959*'Parametros Generales'!$J$10*'Parametros Generales'!$C$6*'Parametros Generales'!$C$11</f>
        <v>14738498.767401624</v>
      </c>
      <c r="AD959" s="417"/>
      <c r="AE959" s="417"/>
      <c r="AF959" s="417"/>
      <c r="AG959" s="417"/>
      <c r="AH959" s="417"/>
      <c r="AI959" s="417"/>
      <c r="AJ959" s="417"/>
      <c r="AK959" s="436"/>
      <c r="AL959" s="822"/>
    </row>
    <row r="960" spans="1:38" s="33" customFormat="1" hidden="1" outlineLevel="1">
      <c r="A960" s="1150"/>
      <c r="B960" s="821">
        <v>70</v>
      </c>
      <c r="C960" s="371" t="s">
        <v>604</v>
      </c>
      <c r="D960" s="31">
        <f>+VLOOKUP(E960,Codigos!$A$1:$B$1123,2,0)</f>
        <v>70221</v>
      </c>
      <c r="E960" s="1111" t="s">
        <v>2187</v>
      </c>
      <c r="F960" s="1103">
        <v>1</v>
      </c>
      <c r="G960" s="30">
        <v>396</v>
      </c>
      <c r="H960" s="1061">
        <f>CEILING(G960,'Parametros Generales'!$C$8)</f>
        <v>400</v>
      </c>
      <c r="I960" s="1057" t="s">
        <v>611</v>
      </c>
      <c r="J960" s="1058">
        <v>400</v>
      </c>
      <c r="K960" s="1070" t="str">
        <f t="shared" si="72"/>
        <v>Ok</v>
      </c>
      <c r="L960" s="1077">
        <f t="shared" si="73"/>
        <v>0</v>
      </c>
      <c r="M960" s="1090">
        <f>+H960/'Parametros Generales'!$C$8</f>
        <v>16</v>
      </c>
      <c r="N960" s="1097"/>
      <c r="O960" s="1097"/>
      <c r="P960" s="1097"/>
      <c r="Q960" s="1097"/>
      <c r="R960" s="1097">
        <f>+(M960/'Parametros Generales'!$C$9)</f>
        <v>4</v>
      </c>
      <c r="S960" s="390"/>
      <c r="T960" s="390"/>
      <c r="U960" s="390"/>
      <c r="V960" s="389"/>
      <c r="W960" s="32">
        <f>+R960*'Componentes T.H.'!$Q$9*'Parametros Generales'!$C$6</f>
        <v>20074028.284000002</v>
      </c>
      <c r="X960" s="32">
        <f>(+VLOOKUP(C960,'Transporte y Viaticos'!$B$87:$L$120,2,0)*'Parametros Generales'!$C$7*R960)*(2/3)</f>
        <v>3113753.8193620448</v>
      </c>
      <c r="Y960" s="417"/>
      <c r="Z960" s="417"/>
      <c r="AA960" s="417"/>
      <c r="AB960" s="417">
        <f>+M960*'Parametros Generales'!$C$6*'Parametros Generales'!$J$9</f>
        <v>7790545.4545454569</v>
      </c>
      <c r="AC960" s="417">
        <f>+H960*'Parametros Generales'!$J$10*'Parametros Generales'!$C$6*'Parametros Generales'!$C$11</f>
        <v>29476997.534803249</v>
      </c>
      <c r="AD960" s="417"/>
      <c r="AE960" s="417"/>
      <c r="AF960" s="417"/>
      <c r="AG960" s="417"/>
      <c r="AH960" s="417"/>
      <c r="AI960" s="417"/>
      <c r="AJ960" s="417"/>
      <c r="AK960" s="436"/>
      <c r="AL960" s="822"/>
    </row>
    <row r="961" spans="1:38" s="33" customFormat="1" hidden="1" outlineLevel="1">
      <c r="A961" s="1150"/>
      <c r="B961" s="821">
        <v>71</v>
      </c>
      <c r="C961" s="371" t="s">
        <v>604</v>
      </c>
      <c r="D961" s="31">
        <f>+VLOOKUP(E961,Codigos!$A$1:$B$1123,2,0)</f>
        <v>70233</v>
      </c>
      <c r="E961" s="1111" t="s">
        <v>2188</v>
      </c>
      <c r="F961" s="1103">
        <v>1</v>
      </c>
      <c r="G961" s="30">
        <v>198</v>
      </c>
      <c r="H961" s="1061">
        <f>CEILING(G961,'Parametros Generales'!$C$8)</f>
        <v>200</v>
      </c>
      <c r="I961" s="1057" t="s">
        <v>612</v>
      </c>
      <c r="J961" s="1058">
        <v>200</v>
      </c>
      <c r="K961" s="1070" t="str">
        <f t="shared" si="72"/>
        <v>Ok</v>
      </c>
      <c r="L961" s="1077">
        <f t="shared" si="73"/>
        <v>0</v>
      </c>
      <c r="M961" s="1090">
        <f>+H961/'Parametros Generales'!$C$8</f>
        <v>8</v>
      </c>
      <c r="N961" s="1097"/>
      <c r="O961" s="1097"/>
      <c r="P961" s="1097"/>
      <c r="Q961" s="1097"/>
      <c r="R961" s="1097">
        <f>+(M961/'Parametros Generales'!$C$9)</f>
        <v>2</v>
      </c>
      <c r="S961" s="390"/>
      <c r="T961" s="390"/>
      <c r="U961" s="390"/>
      <c r="V961" s="389"/>
      <c r="W961" s="32">
        <f>+R961*'Componentes T.H.'!$Q$9*'Parametros Generales'!$C$6</f>
        <v>10037014.142000001</v>
      </c>
      <c r="X961" s="32">
        <f>(+VLOOKUP(C961,'Transporte y Viaticos'!$B$87:$L$120,2,0)*'Parametros Generales'!$C$7*R961)*(2/3)</f>
        <v>1556876.9096810224</v>
      </c>
      <c r="Y961" s="417"/>
      <c r="Z961" s="417"/>
      <c r="AA961" s="417"/>
      <c r="AB961" s="417">
        <f>+M961*'Parametros Generales'!$C$6*'Parametros Generales'!$J$9</f>
        <v>3895272.7272727285</v>
      </c>
      <c r="AC961" s="417">
        <f>+H961*'Parametros Generales'!$J$10*'Parametros Generales'!$C$6*'Parametros Generales'!$C$11</f>
        <v>14738498.767401624</v>
      </c>
      <c r="AD961" s="417"/>
      <c r="AE961" s="417"/>
      <c r="AF961" s="417"/>
      <c r="AG961" s="417"/>
      <c r="AH961" s="417"/>
      <c r="AI961" s="417"/>
      <c r="AJ961" s="417"/>
      <c r="AK961" s="436"/>
      <c r="AL961" s="822"/>
    </row>
    <row r="962" spans="1:38" s="33" customFormat="1" hidden="1" outlineLevel="1">
      <c r="A962" s="1150"/>
      <c r="B962" s="821">
        <v>70</v>
      </c>
      <c r="C962" s="371" t="s">
        <v>604</v>
      </c>
      <c r="D962" s="31">
        <f>+VLOOKUP(E962,Codigos!$A$1:$B$1123,2,0)</f>
        <v>70235</v>
      </c>
      <c r="E962" s="1111" t="s">
        <v>2189</v>
      </c>
      <c r="F962" s="1103">
        <v>1</v>
      </c>
      <c r="G962" s="30">
        <v>198</v>
      </c>
      <c r="H962" s="1061">
        <f>CEILING(G962,'Parametros Generales'!$C$8)</f>
        <v>200</v>
      </c>
      <c r="I962" s="1057" t="s">
        <v>613</v>
      </c>
      <c r="J962" s="1058">
        <v>200</v>
      </c>
      <c r="K962" s="1070" t="str">
        <f t="shared" si="72"/>
        <v>Ok</v>
      </c>
      <c r="L962" s="1077">
        <f t="shared" si="73"/>
        <v>0</v>
      </c>
      <c r="M962" s="1090">
        <f>+H962/'Parametros Generales'!$C$8</f>
        <v>8</v>
      </c>
      <c r="N962" s="1097"/>
      <c r="O962" s="1097"/>
      <c r="P962" s="1097"/>
      <c r="Q962" s="1097"/>
      <c r="R962" s="1097">
        <f>+(M962/'Parametros Generales'!$C$9)</f>
        <v>2</v>
      </c>
      <c r="S962" s="390"/>
      <c r="T962" s="390"/>
      <c r="U962" s="390"/>
      <c r="V962" s="389"/>
      <c r="W962" s="32">
        <f>+R962*'Componentes T.H.'!$Q$9*'Parametros Generales'!$C$6</f>
        <v>10037014.142000001</v>
      </c>
      <c r="X962" s="32">
        <f>(+VLOOKUP(C962,'Transporte y Viaticos'!$B$87:$L$120,2,0)*'Parametros Generales'!$C$7*R962)*(2/3)</f>
        <v>1556876.9096810224</v>
      </c>
      <c r="Y962" s="417"/>
      <c r="Z962" s="417"/>
      <c r="AA962" s="417"/>
      <c r="AB962" s="417">
        <f>+M962*'Parametros Generales'!$C$6*'Parametros Generales'!$J$9</f>
        <v>3895272.7272727285</v>
      </c>
      <c r="AC962" s="417">
        <f>+H962*'Parametros Generales'!$J$10*'Parametros Generales'!$C$6*'Parametros Generales'!$C$11</f>
        <v>14738498.767401624</v>
      </c>
      <c r="AD962" s="417"/>
      <c r="AE962" s="417"/>
      <c r="AF962" s="417"/>
      <c r="AG962" s="417"/>
      <c r="AH962" s="417"/>
      <c r="AI962" s="417"/>
      <c r="AJ962" s="417"/>
      <c r="AK962" s="436"/>
      <c r="AL962" s="822"/>
    </row>
    <row r="963" spans="1:38" s="33" customFormat="1" hidden="1" outlineLevel="1">
      <c r="A963" s="1150"/>
      <c r="B963" s="821">
        <v>70</v>
      </c>
      <c r="C963" s="371" t="s">
        <v>604</v>
      </c>
      <c r="D963" s="31">
        <f>+VLOOKUP(E963,Codigos!$A$1:$B$1123,2,0)</f>
        <v>70265</v>
      </c>
      <c r="E963" s="1111" t="s">
        <v>2190</v>
      </c>
      <c r="F963" s="1103">
        <v>1</v>
      </c>
      <c r="G963" s="30">
        <v>198</v>
      </c>
      <c r="H963" s="1061">
        <f>CEILING(G963,'Parametros Generales'!$C$8)</f>
        <v>200</v>
      </c>
      <c r="I963" s="1057" t="s">
        <v>614</v>
      </c>
      <c r="J963" s="1058">
        <v>200</v>
      </c>
      <c r="K963" s="1070" t="str">
        <f t="shared" ref="K963:K1026" si="78">+IF(I963=E963,"Ok","Rev")</f>
        <v>Ok</v>
      </c>
      <c r="L963" s="1077">
        <f t="shared" ref="L963:L1026" si="79">+J963-H963</f>
        <v>0</v>
      </c>
      <c r="M963" s="1090">
        <f>+H963/'Parametros Generales'!$C$8</f>
        <v>8</v>
      </c>
      <c r="N963" s="1097"/>
      <c r="O963" s="1097"/>
      <c r="P963" s="1097"/>
      <c r="Q963" s="1097"/>
      <c r="R963" s="1097">
        <f>+(M963/'Parametros Generales'!$C$9)</f>
        <v>2</v>
      </c>
      <c r="S963" s="390"/>
      <c r="T963" s="390"/>
      <c r="U963" s="390"/>
      <c r="V963" s="389"/>
      <c r="W963" s="32">
        <f>+R963*'Componentes T.H.'!$Q$9*'Parametros Generales'!$C$6</f>
        <v>10037014.142000001</v>
      </c>
      <c r="X963" s="32">
        <f>(+VLOOKUP(C963,'Transporte y Viaticos'!$B$87:$L$120,2,0)*'Parametros Generales'!$C$7*R963)*(2/3)</f>
        <v>1556876.9096810224</v>
      </c>
      <c r="Y963" s="417"/>
      <c r="Z963" s="417"/>
      <c r="AA963" s="417"/>
      <c r="AB963" s="417">
        <f>+M963*'Parametros Generales'!$C$6*'Parametros Generales'!$J$9</f>
        <v>3895272.7272727285</v>
      </c>
      <c r="AC963" s="417">
        <f>+H963*'Parametros Generales'!$J$10*'Parametros Generales'!$C$6*'Parametros Generales'!$C$11</f>
        <v>14738498.767401624</v>
      </c>
      <c r="AD963" s="417"/>
      <c r="AE963" s="417"/>
      <c r="AF963" s="417"/>
      <c r="AG963" s="417"/>
      <c r="AH963" s="417"/>
      <c r="AI963" s="417"/>
      <c r="AJ963" s="417"/>
      <c r="AK963" s="436"/>
      <c r="AL963" s="822"/>
    </row>
    <row r="964" spans="1:38" s="33" customFormat="1" hidden="1" outlineLevel="1">
      <c r="A964" s="1150"/>
      <c r="B964" s="821">
        <v>70</v>
      </c>
      <c r="C964" s="371" t="s">
        <v>604</v>
      </c>
      <c r="D964" s="31">
        <f>+VLOOKUP(E964,Codigos!$A$1:$B$1123,2,0)</f>
        <v>70400</v>
      </c>
      <c r="E964" s="1111" t="s">
        <v>2191</v>
      </c>
      <c r="F964" s="1103">
        <v>1</v>
      </c>
      <c r="G964" s="30">
        <v>198</v>
      </c>
      <c r="H964" s="1061">
        <f>CEILING(G964,'Parametros Generales'!$C$8)</f>
        <v>200</v>
      </c>
      <c r="I964" s="1057" t="s">
        <v>615</v>
      </c>
      <c r="J964" s="1058">
        <v>200</v>
      </c>
      <c r="K964" s="1070" t="str">
        <f t="shared" si="78"/>
        <v>Ok</v>
      </c>
      <c r="L964" s="1077">
        <f t="shared" si="79"/>
        <v>0</v>
      </c>
      <c r="M964" s="1090">
        <f>+H964/'Parametros Generales'!$C$8</f>
        <v>8</v>
      </c>
      <c r="N964" s="1097"/>
      <c r="O964" s="1097"/>
      <c r="P964" s="1097"/>
      <c r="Q964" s="1097"/>
      <c r="R964" s="1097">
        <f>+(M964/'Parametros Generales'!$C$9)</f>
        <v>2</v>
      </c>
      <c r="S964" s="390"/>
      <c r="T964" s="390"/>
      <c r="U964" s="390"/>
      <c r="V964" s="389"/>
      <c r="W964" s="32">
        <f>+R964*'Componentes T.H.'!$Q$9*'Parametros Generales'!$C$6</f>
        <v>10037014.142000001</v>
      </c>
      <c r="X964" s="32">
        <f>(+VLOOKUP(C964,'Transporte y Viaticos'!$B$87:$L$120,2,0)*'Parametros Generales'!$C$7*R964)*(2/3)</f>
        <v>1556876.9096810224</v>
      </c>
      <c r="Y964" s="417"/>
      <c r="Z964" s="417"/>
      <c r="AA964" s="417"/>
      <c r="AB964" s="417">
        <f>+M964*'Parametros Generales'!$C$6*'Parametros Generales'!$J$9</f>
        <v>3895272.7272727285</v>
      </c>
      <c r="AC964" s="417">
        <f>+H964*'Parametros Generales'!$J$10*'Parametros Generales'!$C$6*'Parametros Generales'!$C$11</f>
        <v>14738498.767401624</v>
      </c>
      <c r="AD964" s="417"/>
      <c r="AE964" s="417"/>
      <c r="AF964" s="417"/>
      <c r="AG964" s="417"/>
      <c r="AH964" s="417"/>
      <c r="AI964" s="417"/>
      <c r="AJ964" s="417"/>
      <c r="AK964" s="436"/>
      <c r="AL964" s="822"/>
    </row>
    <row r="965" spans="1:38" s="33" customFormat="1" hidden="1" outlineLevel="1">
      <c r="A965" s="1150"/>
      <c r="B965" s="821">
        <v>70</v>
      </c>
      <c r="C965" s="371" t="s">
        <v>604</v>
      </c>
      <c r="D965" s="31">
        <f>+VLOOKUP(E965,Codigos!$A$1:$B$1123,2,0)</f>
        <v>70418</v>
      </c>
      <c r="E965" s="1111" t="s">
        <v>2192</v>
      </c>
      <c r="F965" s="1103">
        <v>1</v>
      </c>
      <c r="G965" s="30">
        <v>198</v>
      </c>
      <c r="H965" s="1061">
        <f>CEILING(G965,'Parametros Generales'!$C$8)</f>
        <v>200</v>
      </c>
      <c r="I965" s="1057" t="s">
        <v>616</v>
      </c>
      <c r="J965" s="1058">
        <v>200</v>
      </c>
      <c r="K965" s="1070" t="str">
        <f t="shared" si="78"/>
        <v>Ok</v>
      </c>
      <c r="L965" s="1077">
        <f t="shared" si="79"/>
        <v>0</v>
      </c>
      <c r="M965" s="1090">
        <f>+H965/'Parametros Generales'!$C$8</f>
        <v>8</v>
      </c>
      <c r="N965" s="1097"/>
      <c r="O965" s="1097"/>
      <c r="P965" s="1097"/>
      <c r="Q965" s="1097"/>
      <c r="R965" s="1097">
        <f>+(M965/'Parametros Generales'!$C$9)</f>
        <v>2</v>
      </c>
      <c r="S965" s="390"/>
      <c r="T965" s="390"/>
      <c r="U965" s="390"/>
      <c r="V965" s="389"/>
      <c r="W965" s="32">
        <f>+R965*'Componentes T.H.'!$Q$9*'Parametros Generales'!$C$6</f>
        <v>10037014.142000001</v>
      </c>
      <c r="X965" s="32">
        <f>(+VLOOKUP(C965,'Transporte y Viaticos'!$B$87:$L$120,2,0)*'Parametros Generales'!$C$7*R965)*(2/3)</f>
        <v>1556876.9096810224</v>
      </c>
      <c r="Y965" s="417"/>
      <c r="Z965" s="417"/>
      <c r="AA965" s="417"/>
      <c r="AB965" s="417">
        <f>+M965*'Parametros Generales'!$C$6*'Parametros Generales'!$J$9</f>
        <v>3895272.7272727285</v>
      </c>
      <c r="AC965" s="417">
        <f>+H965*'Parametros Generales'!$J$10*'Parametros Generales'!$C$6*'Parametros Generales'!$C$11</f>
        <v>14738498.767401624</v>
      </c>
      <c r="AD965" s="417"/>
      <c r="AE965" s="417"/>
      <c r="AF965" s="417"/>
      <c r="AG965" s="417"/>
      <c r="AH965" s="417"/>
      <c r="AI965" s="417"/>
      <c r="AJ965" s="417"/>
      <c r="AK965" s="436"/>
      <c r="AL965" s="822"/>
    </row>
    <row r="966" spans="1:38" s="33" customFormat="1" hidden="1" outlineLevel="1">
      <c r="A966" s="1150"/>
      <c r="B966" s="821">
        <v>70</v>
      </c>
      <c r="C966" s="371" t="s">
        <v>604</v>
      </c>
      <c r="D966" s="31">
        <f>+VLOOKUP(E966,Codigos!$A$1:$B$1123,2,0)</f>
        <v>70429</v>
      </c>
      <c r="E966" s="1111" t="s">
        <v>2193</v>
      </c>
      <c r="F966" s="1103">
        <v>1</v>
      </c>
      <c r="G966" s="30">
        <v>198</v>
      </c>
      <c r="H966" s="1061">
        <f>CEILING(G966,'Parametros Generales'!$C$8)</f>
        <v>200</v>
      </c>
      <c r="I966" s="1057" t="s">
        <v>617</v>
      </c>
      <c r="J966" s="1058">
        <v>200</v>
      </c>
      <c r="K966" s="1070" t="str">
        <f t="shared" si="78"/>
        <v>Ok</v>
      </c>
      <c r="L966" s="1077">
        <f t="shared" si="79"/>
        <v>0</v>
      </c>
      <c r="M966" s="1090">
        <f>+H966/'Parametros Generales'!$C$8</f>
        <v>8</v>
      </c>
      <c r="N966" s="1097"/>
      <c r="O966" s="1097"/>
      <c r="P966" s="1097"/>
      <c r="Q966" s="1097"/>
      <c r="R966" s="1097">
        <f>+(M966/'Parametros Generales'!$C$9)</f>
        <v>2</v>
      </c>
      <c r="S966" s="390"/>
      <c r="T966" s="390"/>
      <c r="U966" s="390"/>
      <c r="V966" s="389"/>
      <c r="W966" s="32">
        <f>+R966*'Componentes T.H.'!$Q$9*'Parametros Generales'!$C$6</f>
        <v>10037014.142000001</v>
      </c>
      <c r="X966" s="32">
        <f>(+VLOOKUP(C966,'Transporte y Viaticos'!$B$87:$L$120,2,0)*'Parametros Generales'!$C$7*R966)*(2/3)</f>
        <v>1556876.9096810224</v>
      </c>
      <c r="Y966" s="417"/>
      <c r="Z966" s="417"/>
      <c r="AA966" s="417"/>
      <c r="AB966" s="417">
        <f>+M966*'Parametros Generales'!$C$6*'Parametros Generales'!$J$9</f>
        <v>3895272.7272727285</v>
      </c>
      <c r="AC966" s="417">
        <f>+H966*'Parametros Generales'!$J$10*'Parametros Generales'!$C$6*'Parametros Generales'!$C$11</f>
        <v>14738498.767401624</v>
      </c>
      <c r="AD966" s="417"/>
      <c r="AE966" s="417"/>
      <c r="AF966" s="417"/>
      <c r="AG966" s="417"/>
      <c r="AH966" s="417"/>
      <c r="AI966" s="417"/>
      <c r="AJ966" s="417"/>
      <c r="AK966" s="436"/>
      <c r="AL966" s="822"/>
    </row>
    <row r="967" spans="1:38" s="33" customFormat="1" hidden="1" outlineLevel="1">
      <c r="A967" s="1150"/>
      <c r="B967" s="821">
        <v>70</v>
      </c>
      <c r="C967" s="371" t="s">
        <v>604</v>
      </c>
      <c r="D967" s="31">
        <f>+VLOOKUP(E967,Codigos!$A$1:$B$1123,2,0)</f>
        <v>70473</v>
      </c>
      <c r="E967" s="1111" t="s">
        <v>2194</v>
      </c>
      <c r="F967" s="1103">
        <v>1</v>
      </c>
      <c r="G967" s="30">
        <v>198</v>
      </c>
      <c r="H967" s="1061">
        <f>CEILING(G967,'Parametros Generales'!$C$8)</f>
        <v>200</v>
      </c>
      <c r="I967" s="1057" t="s">
        <v>618</v>
      </c>
      <c r="J967" s="1058">
        <v>200</v>
      </c>
      <c r="K967" s="1070" t="str">
        <f t="shared" si="78"/>
        <v>Ok</v>
      </c>
      <c r="L967" s="1077">
        <f t="shared" si="79"/>
        <v>0</v>
      </c>
      <c r="M967" s="1090">
        <f>+H967/'Parametros Generales'!$C$8</f>
        <v>8</v>
      </c>
      <c r="N967" s="1097"/>
      <c r="O967" s="1097"/>
      <c r="P967" s="1097"/>
      <c r="Q967" s="1097"/>
      <c r="R967" s="1097">
        <f>+(M967/'Parametros Generales'!$C$9)</f>
        <v>2</v>
      </c>
      <c r="S967" s="390"/>
      <c r="T967" s="390"/>
      <c r="U967" s="390"/>
      <c r="V967" s="389"/>
      <c r="W967" s="32">
        <f>+R967*'Componentes T.H.'!$Q$9*'Parametros Generales'!$C$6</f>
        <v>10037014.142000001</v>
      </c>
      <c r="X967" s="32">
        <f>(+VLOOKUP(C967,'Transporte y Viaticos'!$B$87:$L$120,2,0)*'Parametros Generales'!$C$7*R967)*(2/3)</f>
        <v>1556876.9096810224</v>
      </c>
      <c r="Y967" s="417"/>
      <c r="Z967" s="417"/>
      <c r="AA967" s="417"/>
      <c r="AB967" s="417">
        <f>+M967*'Parametros Generales'!$C$6*'Parametros Generales'!$J$9</f>
        <v>3895272.7272727285</v>
      </c>
      <c r="AC967" s="417">
        <f>+H967*'Parametros Generales'!$J$10*'Parametros Generales'!$C$6*'Parametros Generales'!$C$11</f>
        <v>14738498.767401624</v>
      </c>
      <c r="AD967" s="417"/>
      <c r="AE967" s="417"/>
      <c r="AF967" s="417"/>
      <c r="AG967" s="417"/>
      <c r="AH967" s="417"/>
      <c r="AI967" s="417"/>
      <c r="AJ967" s="417"/>
      <c r="AK967" s="436"/>
      <c r="AL967" s="822"/>
    </row>
    <row r="968" spans="1:38" s="33" customFormat="1" hidden="1" outlineLevel="1">
      <c r="A968" s="1150"/>
      <c r="B968" s="821">
        <v>70</v>
      </c>
      <c r="C968" s="371" t="s">
        <v>604</v>
      </c>
      <c r="D968" s="31">
        <f>+VLOOKUP(E968,Codigos!$A$1:$B$1123,2,0)</f>
        <v>70508</v>
      </c>
      <c r="E968" s="1111" t="s">
        <v>2195</v>
      </c>
      <c r="F968" s="1103">
        <v>1</v>
      </c>
      <c r="G968" s="30">
        <v>198</v>
      </c>
      <c r="H968" s="1061">
        <f>CEILING(G968,'Parametros Generales'!$C$8)</f>
        <v>200</v>
      </c>
      <c r="I968" s="1057" t="s">
        <v>619</v>
      </c>
      <c r="J968" s="1058">
        <v>200</v>
      </c>
      <c r="K968" s="1070" t="str">
        <f t="shared" si="78"/>
        <v>Ok</v>
      </c>
      <c r="L968" s="1077">
        <f t="shared" si="79"/>
        <v>0</v>
      </c>
      <c r="M968" s="1090">
        <f>+H968/'Parametros Generales'!$C$8</f>
        <v>8</v>
      </c>
      <c r="N968" s="1097"/>
      <c r="O968" s="1097"/>
      <c r="P968" s="1097"/>
      <c r="Q968" s="1097"/>
      <c r="R968" s="1097">
        <f>+(M968/'Parametros Generales'!$C$9)</f>
        <v>2</v>
      </c>
      <c r="S968" s="390"/>
      <c r="T968" s="390"/>
      <c r="U968" s="390"/>
      <c r="V968" s="389"/>
      <c r="W968" s="32">
        <f>+R968*'Componentes T.H.'!$Q$9*'Parametros Generales'!$C$6</f>
        <v>10037014.142000001</v>
      </c>
      <c r="X968" s="32">
        <f>(+VLOOKUP(C968,'Transporte y Viaticos'!$B$87:$L$120,2,0)*'Parametros Generales'!$C$7*R968)*(2/3)</f>
        <v>1556876.9096810224</v>
      </c>
      <c r="Y968" s="417"/>
      <c r="Z968" s="417"/>
      <c r="AA968" s="417"/>
      <c r="AB968" s="417">
        <f>+M968*'Parametros Generales'!$C$6*'Parametros Generales'!$J$9</f>
        <v>3895272.7272727285</v>
      </c>
      <c r="AC968" s="417">
        <f>+H968*'Parametros Generales'!$J$10*'Parametros Generales'!$C$6*'Parametros Generales'!$C$11</f>
        <v>14738498.767401624</v>
      </c>
      <c r="AD968" s="417"/>
      <c r="AE968" s="417"/>
      <c r="AF968" s="417"/>
      <c r="AG968" s="417"/>
      <c r="AH968" s="417"/>
      <c r="AI968" s="417"/>
      <c r="AJ968" s="417"/>
      <c r="AK968" s="436"/>
      <c r="AL968" s="822"/>
    </row>
    <row r="969" spans="1:38" s="33" customFormat="1" hidden="1" outlineLevel="1">
      <c r="A969" s="1150"/>
      <c r="B969" s="821">
        <v>71</v>
      </c>
      <c r="C969" s="371" t="s">
        <v>604</v>
      </c>
      <c r="D969" s="31">
        <f>+VLOOKUP(E969,Codigos!$A$1:$B$1123,2,0)</f>
        <v>70523</v>
      </c>
      <c r="E969" s="1111" t="s">
        <v>2196</v>
      </c>
      <c r="F969" s="1103">
        <v>1</v>
      </c>
      <c r="G969" s="30">
        <v>198</v>
      </c>
      <c r="H969" s="1061">
        <f>CEILING(G969,'Parametros Generales'!$C$8)</f>
        <v>200</v>
      </c>
      <c r="I969" s="1057" t="s">
        <v>620</v>
      </c>
      <c r="J969" s="1058">
        <v>200</v>
      </c>
      <c r="K969" s="1070" t="str">
        <f t="shared" si="78"/>
        <v>Ok</v>
      </c>
      <c r="L969" s="1077">
        <f t="shared" si="79"/>
        <v>0</v>
      </c>
      <c r="M969" s="1090">
        <f>+H969/'Parametros Generales'!$C$8</f>
        <v>8</v>
      </c>
      <c r="N969" s="1097"/>
      <c r="O969" s="1097"/>
      <c r="P969" s="1097"/>
      <c r="Q969" s="1097"/>
      <c r="R969" s="1097">
        <f>+(M969/'Parametros Generales'!$C$9)</f>
        <v>2</v>
      </c>
      <c r="S969" s="390"/>
      <c r="T969" s="390"/>
      <c r="U969" s="390"/>
      <c r="V969" s="389"/>
      <c r="W969" s="32">
        <f>+R969*'Componentes T.H.'!$Q$9*'Parametros Generales'!$C$6</f>
        <v>10037014.142000001</v>
      </c>
      <c r="X969" s="32">
        <f>(+VLOOKUP(C969,'Transporte y Viaticos'!$B$87:$L$120,2,0)*'Parametros Generales'!$C$7*R969)*(2/3)</f>
        <v>1556876.9096810224</v>
      </c>
      <c r="Y969" s="417"/>
      <c r="Z969" s="417"/>
      <c r="AA969" s="417"/>
      <c r="AB969" s="417">
        <f>+M969*'Parametros Generales'!$C$6*'Parametros Generales'!$J$9</f>
        <v>3895272.7272727285</v>
      </c>
      <c r="AC969" s="417">
        <f>+H969*'Parametros Generales'!$J$10*'Parametros Generales'!$C$6*'Parametros Generales'!$C$11</f>
        <v>14738498.767401624</v>
      </c>
      <c r="AD969" s="417"/>
      <c r="AE969" s="417"/>
      <c r="AF969" s="417"/>
      <c r="AG969" s="417"/>
      <c r="AH969" s="417"/>
      <c r="AI969" s="417"/>
      <c r="AJ969" s="417"/>
      <c r="AK969" s="436"/>
      <c r="AL969" s="822"/>
    </row>
    <row r="970" spans="1:38" s="33" customFormat="1" hidden="1" outlineLevel="1">
      <c r="A970" s="1150"/>
      <c r="B970" s="821">
        <v>70</v>
      </c>
      <c r="C970" s="371" t="s">
        <v>604</v>
      </c>
      <c r="D970" s="31">
        <f>+VLOOKUP(E970,Codigos!$A$1:$B$1123,2,0)</f>
        <v>70670</v>
      </c>
      <c r="E970" s="1111" t="s">
        <v>2197</v>
      </c>
      <c r="F970" s="1103">
        <v>1</v>
      </c>
      <c r="G970" s="30">
        <v>198</v>
      </c>
      <c r="H970" s="1061">
        <f>CEILING(G970,'Parametros Generales'!$C$8)</f>
        <v>200</v>
      </c>
      <c r="I970" s="1057" t="s">
        <v>621</v>
      </c>
      <c r="J970" s="1058">
        <v>200</v>
      </c>
      <c r="K970" s="1070" t="str">
        <f t="shared" si="78"/>
        <v>Ok</v>
      </c>
      <c r="L970" s="1077">
        <f t="shared" si="79"/>
        <v>0</v>
      </c>
      <c r="M970" s="1090">
        <f>+H970/'Parametros Generales'!$C$8</f>
        <v>8</v>
      </c>
      <c r="N970" s="1097"/>
      <c r="O970" s="1097"/>
      <c r="P970" s="1097"/>
      <c r="Q970" s="1097"/>
      <c r="R970" s="1097">
        <f>+(M970/'Parametros Generales'!$C$9)</f>
        <v>2</v>
      </c>
      <c r="S970" s="390"/>
      <c r="T970" s="390"/>
      <c r="U970" s="390"/>
      <c r="V970" s="389"/>
      <c r="W970" s="32">
        <f>+R970*'Componentes T.H.'!$Q$9*'Parametros Generales'!$C$6</f>
        <v>10037014.142000001</v>
      </c>
      <c r="X970" s="32">
        <f>(+VLOOKUP(C970,'Transporte y Viaticos'!$B$87:$L$120,2,0)*'Parametros Generales'!$C$7*R970)*(2/3)</f>
        <v>1556876.9096810224</v>
      </c>
      <c r="Y970" s="417"/>
      <c r="Z970" s="417"/>
      <c r="AA970" s="417"/>
      <c r="AB970" s="417">
        <f>+M970*'Parametros Generales'!$C$6*'Parametros Generales'!$J$9</f>
        <v>3895272.7272727285</v>
      </c>
      <c r="AC970" s="417">
        <f>+H970*'Parametros Generales'!$J$10*'Parametros Generales'!$C$6*'Parametros Generales'!$C$11</f>
        <v>14738498.767401624</v>
      </c>
      <c r="AD970" s="417"/>
      <c r="AE970" s="417"/>
      <c r="AF970" s="417"/>
      <c r="AG970" s="417"/>
      <c r="AH970" s="417"/>
      <c r="AI970" s="417"/>
      <c r="AJ970" s="417"/>
      <c r="AK970" s="436"/>
      <c r="AL970" s="822"/>
    </row>
    <row r="971" spans="1:38" s="33" customFormat="1" hidden="1" outlineLevel="1">
      <c r="A971" s="1150"/>
      <c r="B971" s="821">
        <v>70</v>
      </c>
      <c r="C971" s="371" t="s">
        <v>604</v>
      </c>
      <c r="D971" s="31">
        <f>+VLOOKUP(E971,Codigos!$A$1:$B$1123,2,0)</f>
        <v>70678</v>
      </c>
      <c r="E971" s="1111" t="s">
        <v>2198</v>
      </c>
      <c r="F971" s="1103">
        <v>1</v>
      </c>
      <c r="G971" s="30">
        <v>198</v>
      </c>
      <c r="H971" s="1061">
        <f>CEILING(G971,'Parametros Generales'!$C$8)</f>
        <v>200</v>
      </c>
      <c r="I971" s="1057" t="s">
        <v>622</v>
      </c>
      <c r="J971" s="1058">
        <v>200</v>
      </c>
      <c r="K971" s="1070" t="str">
        <f t="shared" si="78"/>
        <v>Ok</v>
      </c>
      <c r="L971" s="1077">
        <f t="shared" si="79"/>
        <v>0</v>
      </c>
      <c r="M971" s="1090">
        <f>+H971/'Parametros Generales'!$C$8</f>
        <v>8</v>
      </c>
      <c r="N971" s="1097"/>
      <c r="O971" s="1097"/>
      <c r="P971" s="1097"/>
      <c r="Q971" s="1097"/>
      <c r="R971" s="1097">
        <f>+(M971/'Parametros Generales'!$C$9)</f>
        <v>2</v>
      </c>
      <c r="S971" s="390"/>
      <c r="T971" s="390"/>
      <c r="U971" s="390"/>
      <c r="V971" s="389"/>
      <c r="W971" s="32">
        <f>+R971*'Componentes T.H.'!$Q$9*'Parametros Generales'!$C$6</f>
        <v>10037014.142000001</v>
      </c>
      <c r="X971" s="32">
        <f>(+VLOOKUP(C971,'Transporte y Viaticos'!$B$87:$L$120,2,0)*'Parametros Generales'!$C$7*R971)*(2/3)</f>
        <v>1556876.9096810224</v>
      </c>
      <c r="Y971" s="417"/>
      <c r="Z971" s="417"/>
      <c r="AA971" s="417"/>
      <c r="AB971" s="417">
        <f>+M971*'Parametros Generales'!$C$6*'Parametros Generales'!$J$9</f>
        <v>3895272.7272727285</v>
      </c>
      <c r="AC971" s="417">
        <f>+H971*'Parametros Generales'!$J$10*'Parametros Generales'!$C$6*'Parametros Generales'!$C$11</f>
        <v>14738498.767401624</v>
      </c>
      <c r="AD971" s="417"/>
      <c r="AE971" s="417"/>
      <c r="AF971" s="417"/>
      <c r="AG971" s="417"/>
      <c r="AH971" s="417"/>
      <c r="AI971" s="417"/>
      <c r="AJ971" s="417"/>
      <c r="AK971" s="436"/>
      <c r="AL971" s="822"/>
    </row>
    <row r="972" spans="1:38" s="33" customFormat="1" hidden="1" outlineLevel="1">
      <c r="A972" s="1150"/>
      <c r="B972" s="821">
        <v>70</v>
      </c>
      <c r="C972" s="371" t="s">
        <v>604</v>
      </c>
      <c r="D972" s="31">
        <f>+VLOOKUP(E972,Codigos!$A$1:$B$1123,2,0)</f>
        <v>70702</v>
      </c>
      <c r="E972" s="1111" t="s">
        <v>2199</v>
      </c>
      <c r="F972" s="1103">
        <v>1</v>
      </c>
      <c r="G972" s="30">
        <v>198</v>
      </c>
      <c r="H972" s="1061">
        <f>CEILING(G972,'Parametros Generales'!$C$8)</f>
        <v>200</v>
      </c>
      <c r="I972" s="1057" t="s">
        <v>623</v>
      </c>
      <c r="J972" s="1058">
        <v>200</v>
      </c>
      <c r="K972" s="1070" t="str">
        <f t="shared" si="78"/>
        <v>Ok</v>
      </c>
      <c r="L972" s="1077">
        <f t="shared" si="79"/>
        <v>0</v>
      </c>
      <c r="M972" s="1090">
        <f>+H972/'Parametros Generales'!$C$8</f>
        <v>8</v>
      </c>
      <c r="N972" s="1097"/>
      <c r="O972" s="1097"/>
      <c r="P972" s="1097"/>
      <c r="Q972" s="1097"/>
      <c r="R972" s="1097">
        <f>+(M972/'Parametros Generales'!$C$9)</f>
        <v>2</v>
      </c>
      <c r="S972" s="390"/>
      <c r="T972" s="390"/>
      <c r="U972" s="390"/>
      <c r="V972" s="389"/>
      <c r="W972" s="32">
        <f>+R972*'Componentes T.H.'!$Q$9*'Parametros Generales'!$C$6</f>
        <v>10037014.142000001</v>
      </c>
      <c r="X972" s="32">
        <f>(+VLOOKUP(C972,'Transporte y Viaticos'!$B$87:$L$120,2,0)*'Parametros Generales'!$C$7*R972)*(2/3)</f>
        <v>1556876.9096810224</v>
      </c>
      <c r="Y972" s="417"/>
      <c r="Z972" s="417"/>
      <c r="AA972" s="417"/>
      <c r="AB972" s="417">
        <f>+M972*'Parametros Generales'!$C$6*'Parametros Generales'!$J$9</f>
        <v>3895272.7272727285</v>
      </c>
      <c r="AC972" s="417">
        <f>+H972*'Parametros Generales'!$J$10*'Parametros Generales'!$C$6*'Parametros Generales'!$C$11</f>
        <v>14738498.767401624</v>
      </c>
      <c r="AD972" s="417"/>
      <c r="AE972" s="417"/>
      <c r="AF972" s="417"/>
      <c r="AG972" s="417"/>
      <c r="AH972" s="417"/>
      <c r="AI972" s="417"/>
      <c r="AJ972" s="417"/>
      <c r="AK972" s="436"/>
      <c r="AL972" s="822"/>
    </row>
    <row r="973" spans="1:38" s="33" customFormat="1" hidden="1" outlineLevel="1">
      <c r="A973" s="1150"/>
      <c r="B973" s="821">
        <v>70</v>
      </c>
      <c r="C973" s="371" t="s">
        <v>604</v>
      </c>
      <c r="D973" s="31">
        <f>+VLOOKUP(E973,Codigos!$A$1:$B$1123,2,0)</f>
        <v>70742</v>
      </c>
      <c r="E973" s="1111" t="s">
        <v>2200</v>
      </c>
      <c r="F973" s="1103">
        <v>1</v>
      </c>
      <c r="G973" s="30">
        <v>198</v>
      </c>
      <c r="H973" s="1061">
        <f>CEILING(G973,'Parametros Generales'!$C$8)</f>
        <v>200</v>
      </c>
      <c r="I973" s="1057" t="s">
        <v>624</v>
      </c>
      <c r="J973" s="1058">
        <v>200</v>
      </c>
      <c r="K973" s="1070" t="str">
        <f t="shared" si="78"/>
        <v>Ok</v>
      </c>
      <c r="L973" s="1077">
        <f t="shared" si="79"/>
        <v>0</v>
      </c>
      <c r="M973" s="1090">
        <f>+H973/'Parametros Generales'!$C$8</f>
        <v>8</v>
      </c>
      <c r="N973" s="1097"/>
      <c r="O973" s="1097"/>
      <c r="P973" s="1097"/>
      <c r="Q973" s="1097"/>
      <c r="R973" s="1097">
        <f>+(M973/'Parametros Generales'!$C$9)</f>
        <v>2</v>
      </c>
      <c r="S973" s="390"/>
      <c r="T973" s="390"/>
      <c r="U973" s="390"/>
      <c r="V973" s="389"/>
      <c r="W973" s="32">
        <f>+R973*'Componentes T.H.'!$Q$9*'Parametros Generales'!$C$6</f>
        <v>10037014.142000001</v>
      </c>
      <c r="X973" s="32">
        <f>(+VLOOKUP(C973,'Transporte y Viaticos'!$B$87:$L$120,2,0)*'Parametros Generales'!$C$7*R973)*(2/3)</f>
        <v>1556876.9096810224</v>
      </c>
      <c r="Y973" s="417"/>
      <c r="Z973" s="417"/>
      <c r="AA973" s="417"/>
      <c r="AB973" s="417">
        <f>+M973*'Parametros Generales'!$C$6*'Parametros Generales'!$J$9</f>
        <v>3895272.7272727285</v>
      </c>
      <c r="AC973" s="417">
        <f>+H973*'Parametros Generales'!$J$10*'Parametros Generales'!$C$6*'Parametros Generales'!$C$11</f>
        <v>14738498.767401624</v>
      </c>
      <c r="AD973" s="417"/>
      <c r="AE973" s="417"/>
      <c r="AF973" s="417"/>
      <c r="AG973" s="417"/>
      <c r="AH973" s="417"/>
      <c r="AI973" s="417"/>
      <c r="AJ973" s="417"/>
      <c r="AK973" s="436"/>
      <c r="AL973" s="822"/>
    </row>
    <row r="974" spans="1:38" s="33" customFormat="1" hidden="1" outlineLevel="1">
      <c r="A974" s="1150"/>
      <c r="B974" s="821">
        <v>70</v>
      </c>
      <c r="C974" s="371" t="s">
        <v>604</v>
      </c>
      <c r="D974" s="31">
        <f>+VLOOKUP(E974,Codigos!$A$1:$B$1123,2,0)</f>
        <v>70708</v>
      </c>
      <c r="E974" s="1111" t="s">
        <v>2201</v>
      </c>
      <c r="F974" s="1103">
        <v>1</v>
      </c>
      <c r="G974" s="30">
        <v>198</v>
      </c>
      <c r="H974" s="1061">
        <f>CEILING(G974,'Parametros Generales'!$C$8)</f>
        <v>200</v>
      </c>
      <c r="I974" s="1057" t="s">
        <v>625</v>
      </c>
      <c r="J974" s="1058">
        <v>200</v>
      </c>
      <c r="K974" s="1070" t="str">
        <f t="shared" si="78"/>
        <v>Ok</v>
      </c>
      <c r="L974" s="1077">
        <f t="shared" si="79"/>
        <v>0</v>
      </c>
      <c r="M974" s="1090">
        <f>+H974/'Parametros Generales'!$C$8</f>
        <v>8</v>
      </c>
      <c r="N974" s="1097"/>
      <c r="O974" s="1097"/>
      <c r="P974" s="1097"/>
      <c r="Q974" s="1097"/>
      <c r="R974" s="1097">
        <f>+(M974/'Parametros Generales'!$C$9)</f>
        <v>2</v>
      </c>
      <c r="S974" s="390"/>
      <c r="T974" s="390"/>
      <c r="U974" s="390"/>
      <c r="V974" s="389"/>
      <c r="W974" s="32">
        <f>+R974*'Componentes T.H.'!$Q$9*'Parametros Generales'!$C$6</f>
        <v>10037014.142000001</v>
      </c>
      <c r="X974" s="32">
        <f>(+VLOOKUP(C974,'Transporte y Viaticos'!$B$87:$L$120,2,0)*'Parametros Generales'!$C$7*R974)*(2/3)</f>
        <v>1556876.9096810224</v>
      </c>
      <c r="Y974" s="417"/>
      <c r="Z974" s="417"/>
      <c r="AA974" s="417"/>
      <c r="AB974" s="417">
        <f>+M974*'Parametros Generales'!$C$6*'Parametros Generales'!$J$9</f>
        <v>3895272.7272727285</v>
      </c>
      <c r="AC974" s="417">
        <f>+H974*'Parametros Generales'!$J$10*'Parametros Generales'!$C$6*'Parametros Generales'!$C$11</f>
        <v>14738498.767401624</v>
      </c>
      <c r="AD974" s="417"/>
      <c r="AE974" s="417"/>
      <c r="AF974" s="417"/>
      <c r="AG974" s="417"/>
      <c r="AH974" s="417"/>
      <c r="AI974" s="417"/>
      <c r="AJ974" s="417"/>
      <c r="AK974" s="436"/>
      <c r="AL974" s="822"/>
    </row>
    <row r="975" spans="1:38" s="33" customFormat="1" hidden="1" outlineLevel="1">
      <c r="A975" s="1150"/>
      <c r="B975" s="821">
        <v>70</v>
      </c>
      <c r="C975" s="371" t="s">
        <v>604</v>
      </c>
      <c r="D975" s="31">
        <f>+VLOOKUP(E975,Codigos!$A$1:$B$1123,2,0)</f>
        <v>70713</v>
      </c>
      <c r="E975" s="1111" t="s">
        <v>2202</v>
      </c>
      <c r="F975" s="1103">
        <v>1</v>
      </c>
      <c r="G975" s="30">
        <v>198</v>
      </c>
      <c r="H975" s="1061">
        <f>CEILING(G975,'Parametros Generales'!$C$8)</f>
        <v>200</v>
      </c>
      <c r="I975" s="1057" t="s">
        <v>626</v>
      </c>
      <c r="J975" s="1058">
        <v>200</v>
      </c>
      <c r="K975" s="1070" t="str">
        <f t="shared" si="78"/>
        <v>Ok</v>
      </c>
      <c r="L975" s="1077">
        <f t="shared" si="79"/>
        <v>0</v>
      </c>
      <c r="M975" s="1090">
        <f>+H975/'Parametros Generales'!$C$8</f>
        <v>8</v>
      </c>
      <c r="N975" s="1097"/>
      <c r="O975" s="1097"/>
      <c r="P975" s="1097"/>
      <c r="Q975" s="1097"/>
      <c r="R975" s="1097">
        <f>+(M975/'Parametros Generales'!$C$9)</f>
        <v>2</v>
      </c>
      <c r="S975" s="390"/>
      <c r="T975" s="390"/>
      <c r="U975" s="390"/>
      <c r="V975" s="389"/>
      <c r="W975" s="32">
        <f>+R975*'Componentes T.H.'!$Q$9*'Parametros Generales'!$C$6</f>
        <v>10037014.142000001</v>
      </c>
      <c r="X975" s="32">
        <f>(+VLOOKUP(C975,'Transporte y Viaticos'!$B$87:$L$120,2,0)*'Parametros Generales'!$C$7*R975)*(2/3)</f>
        <v>1556876.9096810224</v>
      </c>
      <c r="Y975" s="417"/>
      <c r="Z975" s="417"/>
      <c r="AA975" s="417"/>
      <c r="AB975" s="417">
        <f>+M975*'Parametros Generales'!$C$6*'Parametros Generales'!$J$9</f>
        <v>3895272.7272727285</v>
      </c>
      <c r="AC975" s="417">
        <f>+H975*'Parametros Generales'!$J$10*'Parametros Generales'!$C$6*'Parametros Generales'!$C$11</f>
        <v>14738498.767401624</v>
      </c>
      <c r="AD975" s="417"/>
      <c r="AE975" s="417"/>
      <c r="AF975" s="417"/>
      <c r="AG975" s="417"/>
      <c r="AH975" s="417"/>
      <c r="AI975" s="417"/>
      <c r="AJ975" s="417"/>
      <c r="AK975" s="436"/>
      <c r="AL975" s="822"/>
    </row>
    <row r="976" spans="1:38" s="33" customFormat="1" hidden="1" outlineLevel="1">
      <c r="A976" s="1150"/>
      <c r="B976" s="821">
        <v>70</v>
      </c>
      <c r="C976" s="371" t="s">
        <v>604</v>
      </c>
      <c r="D976" s="31">
        <f>+VLOOKUP(E976,Codigos!$A$1:$B$1123,2,0)</f>
        <v>70717</v>
      </c>
      <c r="E976" s="1111" t="s">
        <v>2203</v>
      </c>
      <c r="F976" s="1103">
        <v>1</v>
      </c>
      <c r="G976" s="30">
        <v>198</v>
      </c>
      <c r="H976" s="1061">
        <f>CEILING(G976,'Parametros Generales'!$C$8)</f>
        <v>200</v>
      </c>
      <c r="I976" s="1057" t="s">
        <v>627</v>
      </c>
      <c r="J976" s="1058">
        <v>200</v>
      </c>
      <c r="K976" s="1070" t="str">
        <f t="shared" si="78"/>
        <v>Ok</v>
      </c>
      <c r="L976" s="1077">
        <f t="shared" si="79"/>
        <v>0</v>
      </c>
      <c r="M976" s="1090">
        <f>+H976/'Parametros Generales'!$C$8</f>
        <v>8</v>
      </c>
      <c r="N976" s="1097"/>
      <c r="O976" s="1097"/>
      <c r="P976" s="1097"/>
      <c r="Q976" s="1097"/>
      <c r="R976" s="1097">
        <f>+(M976/'Parametros Generales'!$C$9)</f>
        <v>2</v>
      </c>
      <c r="S976" s="390"/>
      <c r="T976" s="390"/>
      <c r="U976" s="390"/>
      <c r="V976" s="389"/>
      <c r="W976" s="32">
        <f>+R976*'Componentes T.H.'!$Q$9*'Parametros Generales'!$C$6</f>
        <v>10037014.142000001</v>
      </c>
      <c r="X976" s="32">
        <f>(+VLOOKUP(C976,'Transporte y Viaticos'!$B$87:$L$120,2,0)*'Parametros Generales'!$C$7*R976)*(2/3)</f>
        <v>1556876.9096810224</v>
      </c>
      <c r="Y976" s="417"/>
      <c r="Z976" s="417"/>
      <c r="AA976" s="417"/>
      <c r="AB976" s="417">
        <f>+M976*'Parametros Generales'!$C$6*'Parametros Generales'!$J$9</f>
        <v>3895272.7272727285</v>
      </c>
      <c r="AC976" s="417">
        <f>+H976*'Parametros Generales'!$J$10*'Parametros Generales'!$C$6*'Parametros Generales'!$C$11</f>
        <v>14738498.767401624</v>
      </c>
      <c r="AD976" s="417"/>
      <c r="AE976" s="417"/>
      <c r="AF976" s="417"/>
      <c r="AG976" s="417"/>
      <c r="AH976" s="417"/>
      <c r="AI976" s="417"/>
      <c r="AJ976" s="417"/>
      <c r="AK976" s="436"/>
      <c r="AL976" s="822"/>
    </row>
    <row r="977" spans="1:38" s="33" customFormat="1" hidden="1" outlineLevel="1">
      <c r="A977" s="1150"/>
      <c r="B977" s="821">
        <v>70</v>
      </c>
      <c r="C977" s="371" t="s">
        <v>604</v>
      </c>
      <c r="D977" s="31">
        <f>+VLOOKUP(E977,Codigos!$A$1:$B$1123,2,0)</f>
        <v>70820</v>
      </c>
      <c r="E977" s="1111" t="s">
        <v>2204</v>
      </c>
      <c r="F977" s="1103">
        <v>1</v>
      </c>
      <c r="G977" s="30">
        <v>198</v>
      </c>
      <c r="H977" s="1061">
        <f>CEILING(G977,'Parametros Generales'!$C$8)</f>
        <v>200</v>
      </c>
      <c r="I977" s="1057" t="s">
        <v>628</v>
      </c>
      <c r="J977" s="1058">
        <v>200</v>
      </c>
      <c r="K977" s="1070" t="str">
        <f t="shared" si="78"/>
        <v>Ok</v>
      </c>
      <c r="L977" s="1077">
        <f t="shared" si="79"/>
        <v>0</v>
      </c>
      <c r="M977" s="1090">
        <f>+H977/'Parametros Generales'!$C$8</f>
        <v>8</v>
      </c>
      <c r="N977" s="1097"/>
      <c r="O977" s="1097"/>
      <c r="P977" s="1097"/>
      <c r="Q977" s="1097"/>
      <c r="R977" s="1097">
        <f>+(M977/'Parametros Generales'!$C$9)</f>
        <v>2</v>
      </c>
      <c r="S977" s="390"/>
      <c r="T977" s="390"/>
      <c r="U977" s="390"/>
      <c r="V977" s="389"/>
      <c r="W977" s="32">
        <f>+R977*'Componentes T.H.'!$Q$9*'Parametros Generales'!$C$6</f>
        <v>10037014.142000001</v>
      </c>
      <c r="X977" s="32">
        <f>(+VLOOKUP(C977,'Transporte y Viaticos'!$B$87:$L$120,2,0)*'Parametros Generales'!$C$7*R977)*(2/3)</f>
        <v>1556876.9096810224</v>
      </c>
      <c r="Y977" s="417"/>
      <c r="Z977" s="417"/>
      <c r="AA977" s="417"/>
      <c r="AB977" s="417">
        <f>+M977*'Parametros Generales'!$C$6*'Parametros Generales'!$J$9</f>
        <v>3895272.7272727285</v>
      </c>
      <c r="AC977" s="417">
        <f>+H977*'Parametros Generales'!$J$10*'Parametros Generales'!$C$6*'Parametros Generales'!$C$11</f>
        <v>14738498.767401624</v>
      </c>
      <c r="AD977" s="417"/>
      <c r="AE977" s="417"/>
      <c r="AF977" s="417"/>
      <c r="AG977" s="417"/>
      <c r="AH977" s="417"/>
      <c r="AI977" s="417"/>
      <c r="AJ977" s="417"/>
      <c r="AK977" s="436"/>
      <c r="AL977" s="822"/>
    </row>
    <row r="978" spans="1:38" s="33" customFormat="1" hidden="1" outlineLevel="1">
      <c r="A978" s="1150"/>
      <c r="B978" s="821">
        <v>70</v>
      </c>
      <c r="C978" s="371" t="s">
        <v>604</v>
      </c>
      <c r="D978" s="31">
        <f>+VLOOKUP(E978,Codigos!$A$1:$B$1123,2,0)</f>
        <v>70771</v>
      </c>
      <c r="E978" s="1111" t="s">
        <v>2205</v>
      </c>
      <c r="F978" s="1103">
        <v>1</v>
      </c>
      <c r="G978" s="30">
        <v>198</v>
      </c>
      <c r="H978" s="1061">
        <f>CEILING(G978,'Parametros Generales'!$C$8)</f>
        <v>200</v>
      </c>
      <c r="I978" s="1057" t="s">
        <v>629</v>
      </c>
      <c r="J978" s="1058">
        <v>200</v>
      </c>
      <c r="K978" s="1070" t="str">
        <f t="shared" si="78"/>
        <v>Ok</v>
      </c>
      <c r="L978" s="1077">
        <f t="shared" si="79"/>
        <v>0</v>
      </c>
      <c r="M978" s="1090">
        <f>+H978/'Parametros Generales'!$C$8</f>
        <v>8</v>
      </c>
      <c r="N978" s="1097"/>
      <c r="O978" s="1097"/>
      <c r="P978" s="1097"/>
      <c r="Q978" s="1097"/>
      <c r="R978" s="1097">
        <f>+(M978/'Parametros Generales'!$C$9)</f>
        <v>2</v>
      </c>
      <c r="S978" s="390"/>
      <c r="T978" s="390"/>
      <c r="U978" s="390"/>
      <c r="V978" s="389"/>
      <c r="W978" s="32">
        <f>+R978*'Componentes T.H.'!$Q$9*'Parametros Generales'!$C$6</f>
        <v>10037014.142000001</v>
      </c>
      <c r="X978" s="32">
        <f>(+VLOOKUP(C978,'Transporte y Viaticos'!$B$87:$L$120,2,0)*'Parametros Generales'!$C$7*R978)*(2/3)</f>
        <v>1556876.9096810224</v>
      </c>
      <c r="Y978" s="417"/>
      <c r="Z978" s="417"/>
      <c r="AA978" s="417"/>
      <c r="AB978" s="417">
        <f>+M978*'Parametros Generales'!$C$6*'Parametros Generales'!$J$9</f>
        <v>3895272.7272727285</v>
      </c>
      <c r="AC978" s="417">
        <f>+H978*'Parametros Generales'!$J$10*'Parametros Generales'!$C$6*'Parametros Generales'!$C$11</f>
        <v>14738498.767401624</v>
      </c>
      <c r="AD978" s="417"/>
      <c r="AE978" s="417"/>
      <c r="AF978" s="417"/>
      <c r="AG978" s="417"/>
      <c r="AH978" s="417"/>
      <c r="AI978" s="417"/>
      <c r="AJ978" s="417"/>
      <c r="AK978" s="436"/>
      <c r="AL978" s="822"/>
    </row>
    <row r="979" spans="1:38" s="33" customFormat="1" hidden="1" outlineLevel="1">
      <c r="A979" s="1150"/>
      <c r="B979" s="823">
        <v>70</v>
      </c>
      <c r="C979" s="373" t="s">
        <v>604</v>
      </c>
      <c r="D979" s="374">
        <f>+VLOOKUP(E979,Codigos!$A$1:$B$1123,2,0)</f>
        <v>70823</v>
      </c>
      <c r="E979" s="1113" t="s">
        <v>2206</v>
      </c>
      <c r="F979" s="1104">
        <v>1</v>
      </c>
      <c r="G979" s="375">
        <v>198</v>
      </c>
      <c r="H979" s="1062">
        <f>CEILING(G979,'Parametros Generales'!$C$8)</f>
        <v>200</v>
      </c>
      <c r="I979" s="1057" t="s">
        <v>630</v>
      </c>
      <c r="J979" s="1058">
        <v>200</v>
      </c>
      <c r="K979" s="1070" t="str">
        <f t="shared" si="78"/>
        <v>Ok</v>
      </c>
      <c r="L979" s="1077">
        <f t="shared" si="79"/>
        <v>0</v>
      </c>
      <c r="M979" s="1091">
        <f>+H979/'Parametros Generales'!$C$8</f>
        <v>8</v>
      </c>
      <c r="N979" s="1098"/>
      <c r="O979" s="1098"/>
      <c r="P979" s="1098"/>
      <c r="Q979" s="1098"/>
      <c r="R979" s="1098">
        <f>+(M979/'Parametros Generales'!$C$9)</f>
        <v>2</v>
      </c>
      <c r="S979" s="395"/>
      <c r="T979" s="395"/>
      <c r="U979" s="395"/>
      <c r="V979" s="396"/>
      <c r="W979" s="376">
        <f>+R979*'Componentes T.H.'!$Q$9*'Parametros Generales'!$C$6</f>
        <v>10037014.142000001</v>
      </c>
      <c r="X979" s="376">
        <f>(+VLOOKUP(C979,'Transporte y Viaticos'!$B$87:$L$120,2,0)*'Parametros Generales'!$C$7*R979)*(2/3)</f>
        <v>1556876.9096810224</v>
      </c>
      <c r="Y979" s="417"/>
      <c r="Z979" s="417"/>
      <c r="AA979" s="417"/>
      <c r="AB979" s="417">
        <f>+M979*'Parametros Generales'!$C$6*'Parametros Generales'!$J$9</f>
        <v>3895272.7272727285</v>
      </c>
      <c r="AC979" s="417">
        <f>+H979*'Parametros Generales'!$J$10*'Parametros Generales'!$C$6*'Parametros Generales'!$C$11</f>
        <v>14738498.767401624</v>
      </c>
      <c r="AD979" s="417"/>
      <c r="AE979" s="417"/>
      <c r="AF979" s="417"/>
      <c r="AG979" s="417"/>
      <c r="AH979" s="417"/>
      <c r="AI979" s="417"/>
      <c r="AJ979" s="417"/>
      <c r="AK979" s="436"/>
      <c r="AL979" s="822"/>
    </row>
    <row r="980" spans="1:38" s="33" customFormat="1" hidden="1" outlineLevel="1">
      <c r="A980" s="1150"/>
      <c r="B980" s="823">
        <f t="shared" ref="B980:B992" si="80">+B979</f>
        <v>70</v>
      </c>
      <c r="C980" s="373" t="str">
        <f t="shared" ref="C980:C992" si="81">+C979</f>
        <v>SUCRE</v>
      </c>
      <c r="D980" s="374"/>
      <c r="E980" s="1113"/>
      <c r="F980" s="1104"/>
      <c r="G980" s="375"/>
      <c r="H980" s="1062"/>
      <c r="I980" s="1057"/>
      <c r="J980" s="1058"/>
      <c r="K980" s="1070" t="str">
        <f t="shared" si="78"/>
        <v>Ok</v>
      </c>
      <c r="L980" s="1077">
        <f t="shared" si="79"/>
        <v>0</v>
      </c>
      <c r="M980" s="1091">
        <f>+H980/'Parametros Generales'!$C$8</f>
        <v>0</v>
      </c>
      <c r="N980" s="1098"/>
      <c r="O980" s="1098"/>
      <c r="P980" s="1098"/>
      <c r="Q980" s="1098"/>
      <c r="R980" s="1098">
        <f>+(M980/'Parametros Generales'!$C$9)</f>
        <v>0</v>
      </c>
      <c r="S980" s="395"/>
      <c r="T980" s="395"/>
      <c r="U980" s="395"/>
      <c r="V980" s="396"/>
      <c r="W980" s="376">
        <f>+R980*'Componentes T.H.'!$Q$9*'Parametros Generales'!$C$6</f>
        <v>0</v>
      </c>
      <c r="X980" s="376">
        <f>(+VLOOKUP(C980,'Transporte y Viaticos'!$B$87:$L$120,2,0)*'Parametros Generales'!$C$7*R980)*(2/3)</f>
        <v>0</v>
      </c>
      <c r="Y980" s="417"/>
      <c r="Z980" s="417"/>
      <c r="AA980" s="417"/>
      <c r="AB980" s="417">
        <f>+M980*'Parametros Generales'!$C$6*'Parametros Generales'!$J$9</f>
        <v>0</v>
      </c>
      <c r="AC980" s="417">
        <f>+H980*'Parametros Generales'!$J$10*'Parametros Generales'!$C$6*'Parametros Generales'!$C$11</f>
        <v>0</v>
      </c>
      <c r="AD980" s="417"/>
      <c r="AE980" s="417"/>
      <c r="AF980" s="417"/>
      <c r="AG980" s="417"/>
      <c r="AH980" s="417"/>
      <c r="AI980" s="417"/>
      <c r="AJ980" s="417"/>
      <c r="AK980" s="436"/>
      <c r="AL980" s="822"/>
    </row>
    <row r="981" spans="1:38" s="33" customFormat="1" hidden="1" outlineLevel="1">
      <c r="A981" s="1150"/>
      <c r="B981" s="823">
        <f t="shared" si="80"/>
        <v>70</v>
      </c>
      <c r="C981" s="373" t="str">
        <f t="shared" si="81"/>
        <v>SUCRE</v>
      </c>
      <c r="D981" s="374"/>
      <c r="E981" s="1113"/>
      <c r="F981" s="1104"/>
      <c r="G981" s="375"/>
      <c r="H981" s="1062"/>
      <c r="I981" s="1057"/>
      <c r="J981" s="1058"/>
      <c r="K981" s="1070" t="str">
        <f t="shared" si="78"/>
        <v>Ok</v>
      </c>
      <c r="L981" s="1077">
        <f t="shared" si="79"/>
        <v>0</v>
      </c>
      <c r="M981" s="1091">
        <f>+H981/'Parametros Generales'!$C$8</f>
        <v>0</v>
      </c>
      <c r="N981" s="1098"/>
      <c r="O981" s="1098"/>
      <c r="P981" s="1098"/>
      <c r="Q981" s="1098"/>
      <c r="R981" s="1098">
        <f>+(M981/'Parametros Generales'!$C$9)</f>
        <v>0</v>
      </c>
      <c r="S981" s="395"/>
      <c r="T981" s="395"/>
      <c r="U981" s="395"/>
      <c r="V981" s="396"/>
      <c r="W981" s="376">
        <f>+R981*'Componentes T.H.'!$Q$9*'Parametros Generales'!$C$6</f>
        <v>0</v>
      </c>
      <c r="X981" s="376">
        <f>(+VLOOKUP(C981,'Transporte y Viaticos'!$B$87:$L$120,2,0)*'Parametros Generales'!$C$7*R981)*(2/3)</f>
        <v>0</v>
      </c>
      <c r="Y981" s="417"/>
      <c r="Z981" s="417"/>
      <c r="AA981" s="417"/>
      <c r="AB981" s="417">
        <f>+M981*'Parametros Generales'!$C$6*'Parametros Generales'!$J$9</f>
        <v>0</v>
      </c>
      <c r="AC981" s="417">
        <f>+H981*'Parametros Generales'!$J$10*'Parametros Generales'!$C$6*'Parametros Generales'!$C$11</f>
        <v>0</v>
      </c>
      <c r="AD981" s="417"/>
      <c r="AE981" s="417"/>
      <c r="AF981" s="417"/>
      <c r="AG981" s="417"/>
      <c r="AH981" s="417"/>
      <c r="AI981" s="417"/>
      <c r="AJ981" s="417"/>
      <c r="AK981" s="436"/>
      <c r="AL981" s="822"/>
    </row>
    <row r="982" spans="1:38" s="33" customFormat="1" hidden="1" outlineLevel="1">
      <c r="A982" s="1150"/>
      <c r="B982" s="823">
        <f t="shared" si="80"/>
        <v>70</v>
      </c>
      <c r="C982" s="373" t="str">
        <f t="shared" si="81"/>
        <v>SUCRE</v>
      </c>
      <c r="D982" s="374"/>
      <c r="E982" s="1113"/>
      <c r="F982" s="1104"/>
      <c r="G982" s="375"/>
      <c r="H982" s="1062"/>
      <c r="I982" s="1057"/>
      <c r="J982" s="1058"/>
      <c r="K982" s="1070" t="str">
        <f t="shared" si="78"/>
        <v>Ok</v>
      </c>
      <c r="L982" s="1077">
        <f t="shared" si="79"/>
        <v>0</v>
      </c>
      <c r="M982" s="1091">
        <f>+H982/'Parametros Generales'!$C$8</f>
        <v>0</v>
      </c>
      <c r="N982" s="1098"/>
      <c r="O982" s="1098"/>
      <c r="P982" s="1098"/>
      <c r="Q982" s="1098"/>
      <c r="R982" s="1098">
        <f>+(M982/'Parametros Generales'!$C$9)</f>
        <v>0</v>
      </c>
      <c r="S982" s="395"/>
      <c r="T982" s="395"/>
      <c r="U982" s="395"/>
      <c r="V982" s="396"/>
      <c r="W982" s="376">
        <f>+R982*'Componentes T.H.'!$Q$9*'Parametros Generales'!$C$6</f>
        <v>0</v>
      </c>
      <c r="X982" s="376">
        <f>(+VLOOKUP(C982,'Transporte y Viaticos'!$B$87:$L$120,2,0)*'Parametros Generales'!$C$7*R982)*(2/3)</f>
        <v>0</v>
      </c>
      <c r="Y982" s="417"/>
      <c r="Z982" s="417"/>
      <c r="AA982" s="417"/>
      <c r="AB982" s="417">
        <f>+M982*'Parametros Generales'!$C$6*'Parametros Generales'!$J$9</f>
        <v>0</v>
      </c>
      <c r="AC982" s="417">
        <f>+H982*'Parametros Generales'!$J$10*'Parametros Generales'!$C$6*'Parametros Generales'!$C$11</f>
        <v>0</v>
      </c>
      <c r="AD982" s="417"/>
      <c r="AE982" s="417"/>
      <c r="AF982" s="417"/>
      <c r="AG982" s="417"/>
      <c r="AH982" s="417"/>
      <c r="AI982" s="417"/>
      <c r="AJ982" s="417"/>
      <c r="AK982" s="436"/>
      <c r="AL982" s="822"/>
    </row>
    <row r="983" spans="1:38" s="33" customFormat="1" hidden="1" outlineLevel="1">
      <c r="A983" s="1150"/>
      <c r="B983" s="823">
        <f t="shared" si="80"/>
        <v>70</v>
      </c>
      <c r="C983" s="373" t="str">
        <f t="shared" si="81"/>
        <v>SUCRE</v>
      </c>
      <c r="D983" s="374"/>
      <c r="E983" s="1113"/>
      <c r="F983" s="1104"/>
      <c r="G983" s="375"/>
      <c r="H983" s="1062"/>
      <c r="I983" s="1057"/>
      <c r="J983" s="1058"/>
      <c r="K983" s="1070" t="str">
        <f t="shared" si="78"/>
        <v>Ok</v>
      </c>
      <c r="L983" s="1077">
        <f t="shared" si="79"/>
        <v>0</v>
      </c>
      <c r="M983" s="1091">
        <f>+H983/'Parametros Generales'!$C$8</f>
        <v>0</v>
      </c>
      <c r="N983" s="1098"/>
      <c r="O983" s="1098"/>
      <c r="P983" s="1098"/>
      <c r="Q983" s="1098"/>
      <c r="R983" s="1098">
        <f>+(M983/'Parametros Generales'!$C$9)</f>
        <v>0</v>
      </c>
      <c r="S983" s="395"/>
      <c r="T983" s="395"/>
      <c r="U983" s="395"/>
      <c r="V983" s="396"/>
      <c r="W983" s="376">
        <f>+R983*'Componentes T.H.'!$Q$9*'Parametros Generales'!$C$6</f>
        <v>0</v>
      </c>
      <c r="X983" s="376">
        <f>(+VLOOKUP(C983,'Transporte y Viaticos'!$B$87:$L$120,2,0)*'Parametros Generales'!$C$7*R983)*(2/3)</f>
        <v>0</v>
      </c>
      <c r="Y983" s="417"/>
      <c r="Z983" s="417"/>
      <c r="AA983" s="417"/>
      <c r="AB983" s="417">
        <f>+M983*'Parametros Generales'!$C$6*'Parametros Generales'!$J$9</f>
        <v>0</v>
      </c>
      <c r="AC983" s="417">
        <f>+H983*'Parametros Generales'!$J$10*'Parametros Generales'!$C$6*'Parametros Generales'!$C$11</f>
        <v>0</v>
      </c>
      <c r="AD983" s="417"/>
      <c r="AE983" s="417"/>
      <c r="AF983" s="417"/>
      <c r="AG983" s="417"/>
      <c r="AH983" s="417"/>
      <c r="AI983" s="417"/>
      <c r="AJ983" s="417"/>
      <c r="AK983" s="436"/>
      <c r="AL983" s="822"/>
    </row>
    <row r="984" spans="1:38" s="33" customFormat="1" hidden="1" outlineLevel="1">
      <c r="A984" s="1150"/>
      <c r="B984" s="823">
        <f t="shared" si="80"/>
        <v>70</v>
      </c>
      <c r="C984" s="373" t="str">
        <f t="shared" si="81"/>
        <v>SUCRE</v>
      </c>
      <c r="D984" s="374"/>
      <c r="E984" s="1113"/>
      <c r="F984" s="1104"/>
      <c r="G984" s="375"/>
      <c r="H984" s="1062"/>
      <c r="I984" s="1057"/>
      <c r="J984" s="1058"/>
      <c r="K984" s="1070" t="str">
        <f t="shared" si="78"/>
        <v>Ok</v>
      </c>
      <c r="L984" s="1077">
        <f t="shared" si="79"/>
        <v>0</v>
      </c>
      <c r="M984" s="1091">
        <f>+H984/'Parametros Generales'!$C$8</f>
        <v>0</v>
      </c>
      <c r="N984" s="1098"/>
      <c r="O984" s="1098"/>
      <c r="P984" s="1098"/>
      <c r="Q984" s="1098"/>
      <c r="R984" s="1098">
        <f>+(M984/'Parametros Generales'!$C$9)</f>
        <v>0</v>
      </c>
      <c r="S984" s="395"/>
      <c r="T984" s="395"/>
      <c r="U984" s="395"/>
      <c r="V984" s="396"/>
      <c r="W984" s="376">
        <f>+R984*'Componentes T.H.'!$Q$9*'Parametros Generales'!$C$6</f>
        <v>0</v>
      </c>
      <c r="X984" s="376">
        <f>(+VLOOKUP(C984,'Transporte y Viaticos'!$B$87:$L$120,2,0)*'Parametros Generales'!$C$7*R984)*(2/3)</f>
        <v>0</v>
      </c>
      <c r="Y984" s="417"/>
      <c r="Z984" s="417"/>
      <c r="AA984" s="417"/>
      <c r="AB984" s="417">
        <f>+M984*'Parametros Generales'!$C$6*'Parametros Generales'!$J$9</f>
        <v>0</v>
      </c>
      <c r="AC984" s="417">
        <f>+H984*'Parametros Generales'!$J$10*'Parametros Generales'!$C$6*'Parametros Generales'!$C$11</f>
        <v>0</v>
      </c>
      <c r="AD984" s="417"/>
      <c r="AE984" s="417"/>
      <c r="AF984" s="417"/>
      <c r="AG984" s="417"/>
      <c r="AH984" s="417"/>
      <c r="AI984" s="417"/>
      <c r="AJ984" s="417"/>
      <c r="AK984" s="436"/>
      <c r="AL984" s="822"/>
    </row>
    <row r="985" spans="1:38" s="33" customFormat="1" hidden="1" outlineLevel="1">
      <c r="A985" s="1150"/>
      <c r="B985" s="823">
        <f t="shared" si="80"/>
        <v>70</v>
      </c>
      <c r="C985" s="373" t="str">
        <f t="shared" si="81"/>
        <v>SUCRE</v>
      </c>
      <c r="D985" s="374"/>
      <c r="E985" s="1113"/>
      <c r="F985" s="1104"/>
      <c r="G985" s="375"/>
      <c r="H985" s="1062"/>
      <c r="I985" s="1057"/>
      <c r="J985" s="1058"/>
      <c r="K985" s="1070" t="str">
        <f t="shared" si="78"/>
        <v>Ok</v>
      </c>
      <c r="L985" s="1077">
        <f t="shared" si="79"/>
        <v>0</v>
      </c>
      <c r="M985" s="1091">
        <f>+H985/'Parametros Generales'!$C$8</f>
        <v>0</v>
      </c>
      <c r="N985" s="1098"/>
      <c r="O985" s="1098"/>
      <c r="P985" s="1098"/>
      <c r="Q985" s="1098"/>
      <c r="R985" s="1098">
        <f>+(M985/'Parametros Generales'!$C$9)</f>
        <v>0</v>
      </c>
      <c r="S985" s="395"/>
      <c r="T985" s="395"/>
      <c r="U985" s="395"/>
      <c r="V985" s="396"/>
      <c r="W985" s="376">
        <f>+R985*'Componentes T.H.'!$Q$9*'Parametros Generales'!$C$6</f>
        <v>0</v>
      </c>
      <c r="X985" s="376">
        <f>(+VLOOKUP(C985,'Transporte y Viaticos'!$B$87:$L$120,2,0)*'Parametros Generales'!$C$7*R985)*(2/3)</f>
        <v>0</v>
      </c>
      <c r="Y985" s="417"/>
      <c r="Z985" s="417"/>
      <c r="AA985" s="417"/>
      <c r="AB985" s="417">
        <f>+M985*'Parametros Generales'!$C$6*'Parametros Generales'!$J$9</f>
        <v>0</v>
      </c>
      <c r="AC985" s="417">
        <f>+H985*'Parametros Generales'!$J$10*'Parametros Generales'!$C$6*'Parametros Generales'!$C$11</f>
        <v>0</v>
      </c>
      <c r="AD985" s="417"/>
      <c r="AE985" s="417"/>
      <c r="AF985" s="417"/>
      <c r="AG985" s="417"/>
      <c r="AH985" s="417"/>
      <c r="AI985" s="417"/>
      <c r="AJ985" s="417"/>
      <c r="AK985" s="436"/>
      <c r="AL985" s="822"/>
    </row>
    <row r="986" spans="1:38" s="33" customFormat="1" hidden="1" outlineLevel="1">
      <c r="A986" s="1150"/>
      <c r="B986" s="823">
        <f t="shared" si="80"/>
        <v>70</v>
      </c>
      <c r="C986" s="373" t="str">
        <f t="shared" si="81"/>
        <v>SUCRE</v>
      </c>
      <c r="D986" s="374"/>
      <c r="E986" s="1113"/>
      <c r="F986" s="1104"/>
      <c r="G986" s="375"/>
      <c r="H986" s="1062"/>
      <c r="I986" s="1057"/>
      <c r="J986" s="1058"/>
      <c r="K986" s="1070" t="str">
        <f t="shared" si="78"/>
        <v>Ok</v>
      </c>
      <c r="L986" s="1077">
        <f t="shared" si="79"/>
        <v>0</v>
      </c>
      <c r="M986" s="1091">
        <f>+H986/'Parametros Generales'!$C$8</f>
        <v>0</v>
      </c>
      <c r="N986" s="1098"/>
      <c r="O986" s="1098"/>
      <c r="P986" s="1098"/>
      <c r="Q986" s="1098"/>
      <c r="R986" s="1098">
        <f>+(M986/'Parametros Generales'!$C$9)</f>
        <v>0</v>
      </c>
      <c r="S986" s="395"/>
      <c r="T986" s="395"/>
      <c r="U986" s="395"/>
      <c r="V986" s="396"/>
      <c r="W986" s="376">
        <f>+R986*'Componentes T.H.'!$Q$9*'Parametros Generales'!$C$6</f>
        <v>0</v>
      </c>
      <c r="X986" s="376">
        <f>(+VLOOKUP(C986,'Transporte y Viaticos'!$B$87:$L$120,2,0)*'Parametros Generales'!$C$7*R986)*(2/3)</f>
        <v>0</v>
      </c>
      <c r="Y986" s="417"/>
      <c r="Z986" s="417"/>
      <c r="AA986" s="417"/>
      <c r="AB986" s="417">
        <f>+M986*'Parametros Generales'!$C$6*'Parametros Generales'!$J$9</f>
        <v>0</v>
      </c>
      <c r="AC986" s="417">
        <f>+H986*'Parametros Generales'!$J$10*'Parametros Generales'!$C$6*'Parametros Generales'!$C$11</f>
        <v>0</v>
      </c>
      <c r="AD986" s="417"/>
      <c r="AE986" s="417"/>
      <c r="AF986" s="417"/>
      <c r="AG986" s="417"/>
      <c r="AH986" s="417"/>
      <c r="AI986" s="417"/>
      <c r="AJ986" s="417"/>
      <c r="AK986" s="436"/>
      <c r="AL986" s="822"/>
    </row>
    <row r="987" spans="1:38" s="33" customFormat="1" hidden="1" outlineLevel="1">
      <c r="A987" s="1150"/>
      <c r="B987" s="823">
        <f t="shared" si="80"/>
        <v>70</v>
      </c>
      <c r="C987" s="373" t="str">
        <f t="shared" si="81"/>
        <v>SUCRE</v>
      </c>
      <c r="D987" s="374"/>
      <c r="E987" s="1113"/>
      <c r="F987" s="1104"/>
      <c r="G987" s="375"/>
      <c r="H987" s="1062"/>
      <c r="I987" s="1057"/>
      <c r="J987" s="1058"/>
      <c r="K987" s="1070" t="str">
        <f t="shared" si="78"/>
        <v>Ok</v>
      </c>
      <c r="L987" s="1077">
        <f t="shared" si="79"/>
        <v>0</v>
      </c>
      <c r="M987" s="1091">
        <f>+H987/'Parametros Generales'!$C$8</f>
        <v>0</v>
      </c>
      <c r="N987" s="1098"/>
      <c r="O987" s="1098"/>
      <c r="P987" s="1098"/>
      <c r="Q987" s="1098"/>
      <c r="R987" s="1098">
        <f>+(M987/'Parametros Generales'!$C$9)</f>
        <v>0</v>
      </c>
      <c r="S987" s="395"/>
      <c r="T987" s="395"/>
      <c r="U987" s="395"/>
      <c r="V987" s="396"/>
      <c r="W987" s="376">
        <f>+R987*'Componentes T.H.'!$Q$9*'Parametros Generales'!$C$6</f>
        <v>0</v>
      </c>
      <c r="X987" s="376">
        <f>(+VLOOKUP(C987,'Transporte y Viaticos'!$B$87:$L$120,2,0)*'Parametros Generales'!$C$7*R987)*(2/3)</f>
        <v>0</v>
      </c>
      <c r="Y987" s="417"/>
      <c r="Z987" s="417"/>
      <c r="AA987" s="417"/>
      <c r="AB987" s="417">
        <f>+M987*'Parametros Generales'!$C$6*'Parametros Generales'!$J$9</f>
        <v>0</v>
      </c>
      <c r="AC987" s="417">
        <f>+H987*'Parametros Generales'!$J$10*'Parametros Generales'!$C$6*'Parametros Generales'!$C$11</f>
        <v>0</v>
      </c>
      <c r="AD987" s="417"/>
      <c r="AE987" s="417"/>
      <c r="AF987" s="417"/>
      <c r="AG987" s="417"/>
      <c r="AH987" s="417"/>
      <c r="AI987" s="417"/>
      <c r="AJ987" s="417"/>
      <c r="AK987" s="436"/>
      <c r="AL987" s="822"/>
    </row>
    <row r="988" spans="1:38" s="33" customFormat="1" hidden="1" outlineLevel="1">
      <c r="A988" s="1150"/>
      <c r="B988" s="823">
        <f t="shared" si="80"/>
        <v>70</v>
      </c>
      <c r="C988" s="373" t="str">
        <f t="shared" si="81"/>
        <v>SUCRE</v>
      </c>
      <c r="D988" s="374"/>
      <c r="E988" s="1113"/>
      <c r="F988" s="1104"/>
      <c r="G988" s="375"/>
      <c r="H988" s="1062"/>
      <c r="I988" s="1057"/>
      <c r="J988" s="1058"/>
      <c r="K988" s="1070" t="str">
        <f t="shared" si="78"/>
        <v>Ok</v>
      </c>
      <c r="L988" s="1077">
        <f t="shared" si="79"/>
        <v>0</v>
      </c>
      <c r="M988" s="1091">
        <f>+H988/'Parametros Generales'!$C$8</f>
        <v>0</v>
      </c>
      <c r="N988" s="1098"/>
      <c r="O988" s="1098"/>
      <c r="P988" s="1098"/>
      <c r="Q988" s="1098"/>
      <c r="R988" s="1098">
        <f>+(M988/'Parametros Generales'!$C$9)</f>
        <v>0</v>
      </c>
      <c r="S988" s="395"/>
      <c r="T988" s="395"/>
      <c r="U988" s="395"/>
      <c r="V988" s="396"/>
      <c r="W988" s="376">
        <f>+R988*'Componentes T.H.'!$Q$9*'Parametros Generales'!$C$6</f>
        <v>0</v>
      </c>
      <c r="X988" s="376">
        <f>(+VLOOKUP(C988,'Transporte y Viaticos'!$B$87:$L$120,2,0)*'Parametros Generales'!$C$7*R988)*(2/3)</f>
        <v>0</v>
      </c>
      <c r="Y988" s="417"/>
      <c r="Z988" s="417"/>
      <c r="AA988" s="417"/>
      <c r="AB988" s="417">
        <f>+M988*'Parametros Generales'!$C$6*'Parametros Generales'!$J$9</f>
        <v>0</v>
      </c>
      <c r="AC988" s="417">
        <f>+H988*'Parametros Generales'!$J$10*'Parametros Generales'!$C$6*'Parametros Generales'!$C$11</f>
        <v>0</v>
      </c>
      <c r="AD988" s="417"/>
      <c r="AE988" s="417"/>
      <c r="AF988" s="417"/>
      <c r="AG988" s="417"/>
      <c r="AH988" s="417"/>
      <c r="AI988" s="417"/>
      <c r="AJ988" s="417"/>
      <c r="AK988" s="436"/>
      <c r="AL988" s="822"/>
    </row>
    <row r="989" spans="1:38" s="33" customFormat="1" hidden="1" outlineLevel="1">
      <c r="A989" s="1150"/>
      <c r="B989" s="823">
        <f t="shared" si="80"/>
        <v>70</v>
      </c>
      <c r="C989" s="373" t="str">
        <f t="shared" si="81"/>
        <v>SUCRE</v>
      </c>
      <c r="D989" s="374"/>
      <c r="E989" s="1113"/>
      <c r="F989" s="1104"/>
      <c r="G989" s="375"/>
      <c r="H989" s="1062"/>
      <c r="I989" s="1057"/>
      <c r="J989" s="1058"/>
      <c r="K989" s="1070" t="str">
        <f t="shared" si="78"/>
        <v>Ok</v>
      </c>
      <c r="L989" s="1077">
        <f t="shared" si="79"/>
        <v>0</v>
      </c>
      <c r="M989" s="1091">
        <f>+H989/'Parametros Generales'!$C$8</f>
        <v>0</v>
      </c>
      <c r="N989" s="1098"/>
      <c r="O989" s="1098"/>
      <c r="P989" s="1098"/>
      <c r="Q989" s="1098"/>
      <c r="R989" s="1098">
        <f>+(M989/'Parametros Generales'!$C$9)</f>
        <v>0</v>
      </c>
      <c r="S989" s="395"/>
      <c r="T989" s="395"/>
      <c r="U989" s="395"/>
      <c r="V989" s="396"/>
      <c r="W989" s="376">
        <f>+R989*'Componentes T.H.'!$Q$9*'Parametros Generales'!$C$6</f>
        <v>0</v>
      </c>
      <c r="X989" s="376">
        <f>(+VLOOKUP(C989,'Transporte y Viaticos'!$B$87:$L$120,2,0)*'Parametros Generales'!$C$7*R989)*(2/3)</f>
        <v>0</v>
      </c>
      <c r="Y989" s="417"/>
      <c r="Z989" s="417"/>
      <c r="AA989" s="417"/>
      <c r="AB989" s="417">
        <f>+M989*'Parametros Generales'!$C$6*'Parametros Generales'!$J$9</f>
        <v>0</v>
      </c>
      <c r="AC989" s="417">
        <f>+H989*'Parametros Generales'!$J$10*'Parametros Generales'!$C$6*'Parametros Generales'!$C$11</f>
        <v>0</v>
      </c>
      <c r="AD989" s="417"/>
      <c r="AE989" s="417"/>
      <c r="AF989" s="417"/>
      <c r="AG989" s="417"/>
      <c r="AH989" s="417"/>
      <c r="AI989" s="417"/>
      <c r="AJ989" s="417"/>
      <c r="AK989" s="436"/>
      <c r="AL989" s="822"/>
    </row>
    <row r="990" spans="1:38" s="33" customFormat="1" hidden="1" outlineLevel="1">
      <c r="A990" s="1150"/>
      <c r="B990" s="823">
        <f t="shared" si="80"/>
        <v>70</v>
      </c>
      <c r="C990" s="373" t="str">
        <f t="shared" si="81"/>
        <v>SUCRE</v>
      </c>
      <c r="D990" s="374"/>
      <c r="E990" s="1113"/>
      <c r="F990" s="1104"/>
      <c r="G990" s="375"/>
      <c r="H990" s="1062"/>
      <c r="I990" s="1057"/>
      <c r="J990" s="1058"/>
      <c r="K990" s="1070" t="str">
        <f t="shared" si="78"/>
        <v>Ok</v>
      </c>
      <c r="L990" s="1077">
        <f t="shared" si="79"/>
        <v>0</v>
      </c>
      <c r="M990" s="1091">
        <f>+H990/'Parametros Generales'!$C$8</f>
        <v>0</v>
      </c>
      <c r="N990" s="1098"/>
      <c r="O990" s="1098"/>
      <c r="P990" s="1098"/>
      <c r="Q990" s="1098"/>
      <c r="R990" s="1098">
        <f>+(M990/'Parametros Generales'!$C$9)</f>
        <v>0</v>
      </c>
      <c r="S990" s="395"/>
      <c r="T990" s="395"/>
      <c r="U990" s="395"/>
      <c r="V990" s="396"/>
      <c r="W990" s="376">
        <f>+R990*'Componentes T.H.'!$Q$9*'Parametros Generales'!$C$6</f>
        <v>0</v>
      </c>
      <c r="X990" s="376">
        <f>(+VLOOKUP(C990,'Transporte y Viaticos'!$B$87:$L$120,2,0)*'Parametros Generales'!$C$7*R990)*(2/3)</f>
        <v>0</v>
      </c>
      <c r="Y990" s="417"/>
      <c r="Z990" s="417"/>
      <c r="AA990" s="417"/>
      <c r="AB990" s="417">
        <f>+M990*'Parametros Generales'!$C$6*'Parametros Generales'!$J$9</f>
        <v>0</v>
      </c>
      <c r="AC990" s="417">
        <f>+H990*'Parametros Generales'!$J$10*'Parametros Generales'!$C$6*'Parametros Generales'!$C$11</f>
        <v>0</v>
      </c>
      <c r="AD990" s="417"/>
      <c r="AE990" s="417"/>
      <c r="AF990" s="417"/>
      <c r="AG990" s="417"/>
      <c r="AH990" s="417"/>
      <c r="AI990" s="417"/>
      <c r="AJ990" s="417"/>
      <c r="AK990" s="436"/>
      <c r="AL990" s="822"/>
    </row>
    <row r="991" spans="1:38" s="33" customFormat="1" hidden="1" outlineLevel="1">
      <c r="A991" s="1150"/>
      <c r="B991" s="823">
        <f t="shared" si="80"/>
        <v>70</v>
      </c>
      <c r="C991" s="373" t="str">
        <f t="shared" si="81"/>
        <v>SUCRE</v>
      </c>
      <c r="D991" s="374"/>
      <c r="E991" s="1113"/>
      <c r="F991" s="1104"/>
      <c r="G991" s="375"/>
      <c r="H991" s="1062"/>
      <c r="I991" s="1057"/>
      <c r="J991" s="1058"/>
      <c r="K991" s="1070" t="str">
        <f t="shared" si="78"/>
        <v>Ok</v>
      </c>
      <c r="L991" s="1077">
        <f t="shared" si="79"/>
        <v>0</v>
      </c>
      <c r="M991" s="1091">
        <f>+H991/'Parametros Generales'!$C$8</f>
        <v>0</v>
      </c>
      <c r="N991" s="1098"/>
      <c r="O991" s="1098"/>
      <c r="P991" s="1098"/>
      <c r="Q991" s="1098"/>
      <c r="R991" s="1098">
        <f>+(M991/'Parametros Generales'!$C$9)</f>
        <v>0</v>
      </c>
      <c r="S991" s="395"/>
      <c r="T991" s="395"/>
      <c r="U991" s="395"/>
      <c r="V991" s="396"/>
      <c r="W991" s="376">
        <f>+R991*'Componentes T.H.'!$Q$9*'Parametros Generales'!$C$6</f>
        <v>0</v>
      </c>
      <c r="X991" s="376">
        <f>(+VLOOKUP(C991,'Transporte y Viaticos'!$B$87:$L$120,2,0)*'Parametros Generales'!$C$7*R991)*(2/3)</f>
        <v>0</v>
      </c>
      <c r="Y991" s="417"/>
      <c r="Z991" s="417"/>
      <c r="AA991" s="417"/>
      <c r="AB991" s="417">
        <f>+M991*'Parametros Generales'!$C$6*'Parametros Generales'!$J$9</f>
        <v>0</v>
      </c>
      <c r="AC991" s="417">
        <f>+H991*'Parametros Generales'!$J$10*'Parametros Generales'!$C$6*'Parametros Generales'!$C$11</f>
        <v>0</v>
      </c>
      <c r="AD991" s="417"/>
      <c r="AE991" s="417"/>
      <c r="AF991" s="417"/>
      <c r="AG991" s="417"/>
      <c r="AH991" s="417"/>
      <c r="AI991" s="417"/>
      <c r="AJ991" s="417"/>
      <c r="AK991" s="436"/>
      <c r="AL991" s="822"/>
    </row>
    <row r="992" spans="1:38" s="33" customFormat="1" hidden="1" outlineLevel="1">
      <c r="A992" s="1150"/>
      <c r="B992" s="823">
        <f t="shared" si="80"/>
        <v>70</v>
      </c>
      <c r="C992" s="373" t="str">
        <f t="shared" si="81"/>
        <v>SUCRE</v>
      </c>
      <c r="D992" s="374"/>
      <c r="E992" s="1113"/>
      <c r="F992" s="1104"/>
      <c r="G992" s="375"/>
      <c r="H992" s="1062"/>
      <c r="I992" s="1057"/>
      <c r="J992" s="1058"/>
      <c r="K992" s="1070" t="str">
        <f t="shared" si="78"/>
        <v>Ok</v>
      </c>
      <c r="L992" s="1077">
        <f t="shared" si="79"/>
        <v>0</v>
      </c>
      <c r="M992" s="1091">
        <f>+H992/'Parametros Generales'!$C$8</f>
        <v>0</v>
      </c>
      <c r="N992" s="1098"/>
      <c r="O992" s="1098"/>
      <c r="P992" s="1098"/>
      <c r="Q992" s="1098"/>
      <c r="R992" s="1098">
        <f>+(M992/'Parametros Generales'!$C$9)</f>
        <v>0</v>
      </c>
      <c r="S992" s="395"/>
      <c r="T992" s="395"/>
      <c r="U992" s="395"/>
      <c r="V992" s="396"/>
      <c r="W992" s="376">
        <f>+R992*'Componentes T.H.'!$Q$9*'Parametros Generales'!$C$6</f>
        <v>0</v>
      </c>
      <c r="X992" s="376">
        <f>(+VLOOKUP(C992,'Transporte y Viaticos'!$B$87:$L$120,2,0)*'Parametros Generales'!$C$7*R992)*(2/3)</f>
        <v>0</v>
      </c>
      <c r="Y992" s="417"/>
      <c r="Z992" s="417"/>
      <c r="AA992" s="417"/>
      <c r="AB992" s="417">
        <f>+M992*'Parametros Generales'!$C$6*'Parametros Generales'!$J$9</f>
        <v>0</v>
      </c>
      <c r="AC992" s="417">
        <f>+H992*'Parametros Generales'!$J$10*'Parametros Generales'!$C$6*'Parametros Generales'!$C$11</f>
        <v>0</v>
      </c>
      <c r="AD992" s="417"/>
      <c r="AE992" s="417"/>
      <c r="AF992" s="417"/>
      <c r="AG992" s="417"/>
      <c r="AH992" s="417"/>
      <c r="AI992" s="417"/>
      <c r="AJ992" s="417"/>
      <c r="AK992" s="436"/>
      <c r="AL992" s="822"/>
    </row>
    <row r="993" spans="1:38" s="392" customFormat="1" collapsed="1">
      <c r="A993" s="1151">
        <v>24</v>
      </c>
      <c r="B993" s="824">
        <v>73</v>
      </c>
      <c r="C993" s="385" t="s">
        <v>631</v>
      </c>
      <c r="D993" s="386"/>
      <c r="E993" s="1114" t="s">
        <v>631</v>
      </c>
      <c r="F993" s="1105">
        <f>SUM(F994:F1018)</f>
        <v>25</v>
      </c>
      <c r="G993" s="388">
        <f>+SUM(G994:G1018)</f>
        <v>6435</v>
      </c>
      <c r="H993" s="512">
        <f>+SUM(H994:H1018)</f>
        <v>6300</v>
      </c>
      <c r="I993" s="1057" t="s">
        <v>631</v>
      </c>
      <c r="J993" s="1067">
        <v>6300</v>
      </c>
      <c r="K993" s="1069" t="str">
        <f t="shared" si="78"/>
        <v>Ok</v>
      </c>
      <c r="L993" s="1077">
        <f t="shared" si="79"/>
        <v>0</v>
      </c>
      <c r="M993" s="512">
        <f>+SUM(M994:M1018)</f>
        <v>252</v>
      </c>
      <c r="N993" s="1073">
        <f>+VLOOKUP(H993,'Parametros Generales'!$B$14:$D$17,3,TRUE)</f>
        <v>0.8</v>
      </c>
      <c r="O993" s="1073">
        <f>+VLOOKUP(H993,'Parametros Generales'!$B$14:$D$17,3,TRUE)</f>
        <v>0.8</v>
      </c>
      <c r="P993" s="1073">
        <f>+VLOOKUP(H993,'Parametros Generales'!$B$14:$D$17,3,TRUE)</f>
        <v>0.8</v>
      </c>
      <c r="Q993" s="1073">
        <f>+R993/'Parametros Generales'!$C$10</f>
        <v>7.875</v>
      </c>
      <c r="R993" s="512">
        <f>+SUM(R994:R1018)</f>
        <v>63</v>
      </c>
      <c r="S993" s="390">
        <f>+VLOOKUP(S$1,'Componentes T.H.'!$B$4:$R$22,'Componentes T.H.'!$Q$1,0)*'Parametros Generales'!$C$6*'Cost x Depart'!N993</f>
        <v>11725411.310133336</v>
      </c>
      <c r="T993" s="390">
        <f>+VLOOKUP(T$1,'Componentes T.H.'!$B$4:$R$22,'Componentes T.H.'!$Q$1,0)*'Parametros Generales'!$C$6*'Cost x Depart'!O993</f>
        <v>8835052.5272000004</v>
      </c>
      <c r="U993" s="390">
        <f>+VLOOKUP(U$1,'Componentes T.H.'!$B$4:$R$22,'Componentes T.H.'!$Q$1,0)*'Parametros Generales'!$C$6*'Cost x Depart'!P993</f>
        <v>3912345.6000000001</v>
      </c>
      <c r="V993" s="389">
        <f>+VLOOKUP(V$1,'Componentes T.H.'!$B$4:$R$22,'Componentes T.H.'!$Q$1,0)*'Parametros Generales'!$C$6*'Cost x Depart'!Q993</f>
        <v>78679499.332874998</v>
      </c>
      <c r="W993" s="512">
        <f>+SUM(W994:W1018)</f>
        <v>316165945.47299999</v>
      </c>
      <c r="X993" s="512">
        <f>+SUM(X994:X1018)</f>
        <v>24101672.866883922</v>
      </c>
      <c r="Y993" s="391">
        <f>+VLOOKUP(C994,'Transporte y Viaticos'!$B$87:$F$120,2,0)*((O993/'Parametros Generales'!$J$14)+(Q993/'Parametros Generales'!$J$15)+(R993/'Parametros Generales'!$J$16))*'Parametros Generales'!$C$6</f>
        <v>1152719.889794121</v>
      </c>
      <c r="Z993" s="391">
        <f>+(N993+O993+Q993)*'Parametros Generales'!$C$6*'Parametros Generales'!$J$7</f>
        <v>1862974.5</v>
      </c>
      <c r="AA993" s="391">
        <f>+SUM(N993:R993)*'Parametros Generales'!$C$6*'Parametros Generales'!$J$8</f>
        <v>13152862.5</v>
      </c>
      <c r="AB993" s="512">
        <f>+SUM(AB994:AB1018)</f>
        <v>122701090.90909101</v>
      </c>
      <c r="AC993" s="512">
        <f>+SUM(AC994:AC1018)</f>
        <v>464262711.17315137</v>
      </c>
      <c r="AD993" s="391">
        <f>+'Parametros Generales'!$J$11*SUM(N993:R993)</f>
        <v>2464971</v>
      </c>
      <c r="AE993" s="436">
        <f>+SUM(S993:AD993)</f>
        <v>1049017257.0821288</v>
      </c>
      <c r="AF993" s="391">
        <f>+AE993*(SUM('Res de Costos Pais'!G117:G117))</f>
        <v>71857682.110125825</v>
      </c>
      <c r="AG993" s="391">
        <f>+AE993+AF993</f>
        <v>1120874939.1922545</v>
      </c>
      <c r="AH993" s="391">
        <f>+AG993*SUM('Res de Costos Pais'!$G$123:$G$124)</f>
        <v>10827651.912597179</v>
      </c>
      <c r="AI993" s="391">
        <f>+(AG993+AH993)*'Res de Costos Pais'!$G$136</f>
        <v>3055596.9959831</v>
      </c>
      <c r="AJ993" s="391">
        <f>+(AG993+AH993+AI993)*'Res de Costos Pais'!$G$140</f>
        <v>4539032.7524033394</v>
      </c>
      <c r="AK993" s="391">
        <f>+AG993+AH993+AI993+AJ993</f>
        <v>1139297220.8532381</v>
      </c>
      <c r="AL993" s="820">
        <f>IF(ISERROR((+(AK993/H993)/'Parametros Generales'!$C$6)),0,(+(AK993/H993)/'Parametros Generales'!$C$6))</f>
        <v>36168.165741372635</v>
      </c>
    </row>
    <row r="994" spans="1:38" s="33" customFormat="1" hidden="1" outlineLevel="1">
      <c r="A994" s="1150"/>
      <c r="B994" s="819">
        <v>73</v>
      </c>
      <c r="C994" s="377" t="s">
        <v>631</v>
      </c>
      <c r="D994" s="378">
        <f>+VLOOKUP(E994,Codigos!$A$1:$B$1123,2,0)</f>
        <v>73001</v>
      </c>
      <c r="E994" s="1110" t="s">
        <v>2207</v>
      </c>
      <c r="F994" s="1102">
        <v>1</v>
      </c>
      <c r="G994" s="379">
        <v>1485</v>
      </c>
      <c r="H994" s="1060">
        <f>CEILING((G994-200),'Parametros Generales'!$C$8)</f>
        <v>1300</v>
      </c>
      <c r="I994" s="1057" t="s">
        <v>632</v>
      </c>
      <c r="J994" s="1058">
        <v>1300</v>
      </c>
      <c r="K994" s="1070" t="str">
        <f t="shared" si="78"/>
        <v>Ok</v>
      </c>
      <c r="L994" s="1077">
        <f t="shared" si="79"/>
        <v>0</v>
      </c>
      <c r="M994" s="1089">
        <f>+H994/'Parametros Generales'!$C$8</f>
        <v>52</v>
      </c>
      <c r="N994" s="1096"/>
      <c r="O994" s="1096"/>
      <c r="P994" s="1096"/>
      <c r="Q994" s="1096"/>
      <c r="R994" s="1096">
        <f>+(M994/'Parametros Generales'!$C$9)</f>
        <v>13</v>
      </c>
      <c r="S994" s="393"/>
      <c r="T994" s="393"/>
      <c r="U994" s="393"/>
      <c r="V994" s="394"/>
      <c r="W994" s="380">
        <f>+R994*'Componentes T.H.'!$Q$9*'Parametros Generales'!$C$6</f>
        <v>65240591.923</v>
      </c>
      <c r="X994" s="380">
        <f>(+VLOOKUP(C994,'Transporte y Viaticos'!$B$87:$L$120,2,0)*'Parametros Generales'!$C$7*R994)*(2/3)</f>
        <v>4973361.0677696988</v>
      </c>
      <c r="Y994" s="417"/>
      <c r="Z994" s="417"/>
      <c r="AA994" s="417"/>
      <c r="AB994" s="417">
        <f>+M994*'Parametros Generales'!$C$6*'Parametros Generales'!$J$9</f>
        <v>25319272.727272734</v>
      </c>
      <c r="AC994" s="417">
        <f>+H994*'Parametros Generales'!$J$10*'Parametros Generales'!$C$6*'Parametros Generales'!$C$11</f>
        <v>95800241.988110572</v>
      </c>
      <c r="AD994" s="417"/>
      <c r="AE994" s="417"/>
      <c r="AF994" s="417"/>
      <c r="AG994" s="417"/>
      <c r="AH994" s="417"/>
      <c r="AI994" s="417"/>
      <c r="AJ994" s="417"/>
      <c r="AK994" s="436"/>
      <c r="AL994" s="822"/>
    </row>
    <row r="995" spans="1:38" s="33" customFormat="1" hidden="1" outlineLevel="1">
      <c r="A995" s="1150"/>
      <c r="B995" s="821">
        <v>73</v>
      </c>
      <c r="C995" s="371" t="s">
        <v>631</v>
      </c>
      <c r="D995" s="31">
        <f>+VLOOKUP(E995,Codigos!$A$1:$B$1123,2,0)</f>
        <v>73024</v>
      </c>
      <c r="E995" s="1111" t="s">
        <v>2208</v>
      </c>
      <c r="F995" s="1103">
        <v>1</v>
      </c>
      <c r="G995" s="30">
        <v>198</v>
      </c>
      <c r="H995" s="1061">
        <f>CEILING(G995,'Parametros Generales'!$C$8)</f>
        <v>200</v>
      </c>
      <c r="I995" s="1057" t="s">
        <v>633</v>
      </c>
      <c r="J995" s="1058">
        <v>200</v>
      </c>
      <c r="K995" s="1070" t="str">
        <f t="shared" si="78"/>
        <v>Ok</v>
      </c>
      <c r="L995" s="1077">
        <f t="shared" si="79"/>
        <v>0</v>
      </c>
      <c r="M995" s="1090">
        <f>+H995/'Parametros Generales'!$C$8</f>
        <v>8</v>
      </c>
      <c r="N995" s="1097"/>
      <c r="O995" s="1097"/>
      <c r="P995" s="1097"/>
      <c r="Q995" s="1097"/>
      <c r="R995" s="1097">
        <f>+(M995/'Parametros Generales'!$C$9)</f>
        <v>2</v>
      </c>
      <c r="S995" s="390"/>
      <c r="T995" s="390"/>
      <c r="U995" s="390"/>
      <c r="V995" s="389"/>
      <c r="W995" s="32">
        <f>+R995*'Componentes T.H.'!$Q$9*'Parametros Generales'!$C$6</f>
        <v>10037014.142000001</v>
      </c>
      <c r="X995" s="32">
        <f>(+VLOOKUP(C995,'Transporte y Viaticos'!$B$87:$L$120,2,0)*'Parametros Generales'!$C$7*R995)*(2/3)</f>
        <v>765132.47196456906</v>
      </c>
      <c r="Y995" s="417"/>
      <c r="Z995" s="417"/>
      <c r="AA995" s="417"/>
      <c r="AB995" s="417">
        <f>+M995*'Parametros Generales'!$C$6*'Parametros Generales'!$J$9</f>
        <v>3895272.7272727285</v>
      </c>
      <c r="AC995" s="417">
        <f>+H995*'Parametros Generales'!$J$10*'Parametros Generales'!$C$6*'Parametros Generales'!$C$11</f>
        <v>14738498.767401624</v>
      </c>
      <c r="AD995" s="417"/>
      <c r="AE995" s="417"/>
      <c r="AF995" s="417"/>
      <c r="AG995" s="417"/>
      <c r="AH995" s="417"/>
      <c r="AI995" s="417"/>
      <c r="AJ995" s="417"/>
      <c r="AK995" s="436"/>
      <c r="AL995" s="822"/>
    </row>
    <row r="996" spans="1:38" s="33" customFormat="1" hidden="1" outlineLevel="1">
      <c r="A996" s="1150"/>
      <c r="B996" s="821">
        <v>73</v>
      </c>
      <c r="C996" s="371" t="s">
        <v>631</v>
      </c>
      <c r="D996" s="31">
        <f>+VLOOKUP(E996,Codigos!$A$1:$B$1123,2,0)</f>
        <v>73067</v>
      </c>
      <c r="E996" s="1111" t="s">
        <v>2209</v>
      </c>
      <c r="F996" s="1103">
        <v>1</v>
      </c>
      <c r="G996" s="30">
        <v>198</v>
      </c>
      <c r="H996" s="1061">
        <f>CEILING(G996,'Parametros Generales'!$C$8)</f>
        <v>200</v>
      </c>
      <c r="I996" s="1057" t="s">
        <v>634</v>
      </c>
      <c r="J996" s="1058">
        <v>200</v>
      </c>
      <c r="K996" s="1070" t="str">
        <f t="shared" si="78"/>
        <v>Ok</v>
      </c>
      <c r="L996" s="1076">
        <f t="shared" si="79"/>
        <v>0</v>
      </c>
      <c r="M996" s="1090">
        <f>+H996/'Parametros Generales'!$C$8</f>
        <v>8</v>
      </c>
      <c r="N996" s="1097"/>
      <c r="O996" s="1097"/>
      <c r="P996" s="1097"/>
      <c r="Q996" s="1097"/>
      <c r="R996" s="1097">
        <f>+(M996/'Parametros Generales'!$C$9)</f>
        <v>2</v>
      </c>
      <c r="S996" s="390"/>
      <c r="T996" s="390"/>
      <c r="U996" s="390"/>
      <c r="V996" s="389"/>
      <c r="W996" s="32">
        <f>+R996*'Componentes T.H.'!$Q$9*'Parametros Generales'!$C$6</f>
        <v>10037014.142000001</v>
      </c>
      <c r="X996" s="32">
        <f>(+VLOOKUP(C996,'Transporte y Viaticos'!$B$87:$L$120,2,0)*'Parametros Generales'!$C$7*R996)*(2/3)</f>
        <v>765132.47196456906</v>
      </c>
      <c r="Y996" s="417"/>
      <c r="Z996" s="417"/>
      <c r="AA996" s="417"/>
      <c r="AB996" s="417">
        <f>+M996*'Parametros Generales'!$C$6*'Parametros Generales'!$J$9</f>
        <v>3895272.7272727285</v>
      </c>
      <c r="AC996" s="417">
        <f>+H996*'Parametros Generales'!$J$10*'Parametros Generales'!$C$6*'Parametros Generales'!$C$11</f>
        <v>14738498.767401624</v>
      </c>
      <c r="AD996" s="417"/>
      <c r="AE996" s="417"/>
      <c r="AF996" s="417"/>
      <c r="AG996" s="417"/>
      <c r="AH996" s="417"/>
      <c r="AI996" s="417"/>
      <c r="AJ996" s="417"/>
      <c r="AK996" s="436"/>
      <c r="AL996" s="822"/>
    </row>
    <row r="997" spans="1:38" s="33" customFormat="1" hidden="1" outlineLevel="1">
      <c r="A997" s="1150"/>
      <c r="B997" s="821">
        <v>73</v>
      </c>
      <c r="C997" s="371" t="s">
        <v>631</v>
      </c>
      <c r="D997" s="31">
        <f>+VLOOKUP(E997,Codigos!$A$1:$B$1123,2,0)</f>
        <v>73124</v>
      </c>
      <c r="E997" s="1111" t="s">
        <v>2210</v>
      </c>
      <c r="F997" s="1103">
        <v>1</v>
      </c>
      <c r="G997" s="30">
        <v>198</v>
      </c>
      <c r="H997" s="1061">
        <f>CEILING(G997,'Parametros Generales'!$C$8)</f>
        <v>200</v>
      </c>
      <c r="I997" s="1057" t="s">
        <v>635</v>
      </c>
      <c r="J997" s="1058">
        <v>200</v>
      </c>
      <c r="K997" s="1070" t="str">
        <f t="shared" si="78"/>
        <v>Ok</v>
      </c>
      <c r="L997" s="1077">
        <f t="shared" si="79"/>
        <v>0</v>
      </c>
      <c r="M997" s="1090">
        <f>+H997/'Parametros Generales'!$C$8</f>
        <v>8</v>
      </c>
      <c r="N997" s="1097"/>
      <c r="O997" s="1097"/>
      <c r="P997" s="1097"/>
      <c r="Q997" s="1097"/>
      <c r="R997" s="1097">
        <f>+(M997/'Parametros Generales'!$C$9)</f>
        <v>2</v>
      </c>
      <c r="S997" s="390"/>
      <c r="T997" s="390"/>
      <c r="U997" s="390"/>
      <c r="V997" s="389"/>
      <c r="W997" s="32">
        <f>+R997*'Componentes T.H.'!$Q$9*'Parametros Generales'!$C$6</f>
        <v>10037014.142000001</v>
      </c>
      <c r="X997" s="32">
        <f>(+VLOOKUP(C997,'Transporte y Viaticos'!$B$87:$L$120,2,0)*'Parametros Generales'!$C$7*R997)*(2/3)</f>
        <v>765132.47196456906</v>
      </c>
      <c r="Y997" s="417"/>
      <c r="Z997" s="417"/>
      <c r="AA997" s="417"/>
      <c r="AB997" s="417">
        <f>+M997*'Parametros Generales'!$C$6*'Parametros Generales'!$J$9</f>
        <v>3895272.7272727285</v>
      </c>
      <c r="AC997" s="417">
        <f>+H997*'Parametros Generales'!$J$10*'Parametros Generales'!$C$6*'Parametros Generales'!$C$11</f>
        <v>14738498.767401624</v>
      </c>
      <c r="AD997" s="417"/>
      <c r="AE997" s="417"/>
      <c r="AF997" s="417"/>
      <c r="AG997" s="417"/>
      <c r="AH997" s="417"/>
      <c r="AI997" s="417"/>
      <c r="AJ997" s="417"/>
      <c r="AK997" s="436"/>
      <c r="AL997" s="822"/>
    </row>
    <row r="998" spans="1:38" s="33" customFormat="1" hidden="1" outlineLevel="1">
      <c r="A998" s="1150"/>
      <c r="B998" s="821">
        <v>73</v>
      </c>
      <c r="C998" s="371" t="s">
        <v>631</v>
      </c>
      <c r="D998" s="31">
        <f>+VLOOKUP(E998,Codigos!$A$1:$B$1123,2,0)</f>
        <v>73168</v>
      </c>
      <c r="E998" s="1111" t="s">
        <v>2211</v>
      </c>
      <c r="F998" s="1103">
        <v>1</v>
      </c>
      <c r="G998" s="30">
        <v>396</v>
      </c>
      <c r="H998" s="1061">
        <f>CEILING(G998,'Parametros Generales'!$C$8)</f>
        <v>400</v>
      </c>
      <c r="I998" s="1057" t="s">
        <v>636</v>
      </c>
      <c r="J998" s="1058">
        <v>400</v>
      </c>
      <c r="K998" s="1070" t="str">
        <f t="shared" si="78"/>
        <v>Ok</v>
      </c>
      <c r="L998" s="1077">
        <f t="shared" si="79"/>
        <v>0</v>
      </c>
      <c r="M998" s="1090">
        <f>+H998/'Parametros Generales'!$C$8</f>
        <v>16</v>
      </c>
      <c r="N998" s="1097"/>
      <c r="O998" s="1097"/>
      <c r="P998" s="1097"/>
      <c r="Q998" s="1097"/>
      <c r="R998" s="1097">
        <f>+(M998/'Parametros Generales'!$C$9)</f>
        <v>4</v>
      </c>
      <c r="S998" s="390"/>
      <c r="T998" s="390"/>
      <c r="U998" s="390"/>
      <c r="V998" s="389"/>
      <c r="W998" s="32">
        <f>+R998*'Componentes T.H.'!$Q$9*'Parametros Generales'!$C$6</f>
        <v>20074028.284000002</v>
      </c>
      <c r="X998" s="32">
        <f>(+VLOOKUP(C998,'Transporte y Viaticos'!$B$87:$L$120,2,0)*'Parametros Generales'!$C$7*R998)*(2/3)</f>
        <v>1530264.9439291381</v>
      </c>
      <c r="Y998" s="417"/>
      <c r="Z998" s="417"/>
      <c r="AA998" s="417"/>
      <c r="AB998" s="417">
        <f>+M998*'Parametros Generales'!$C$6*'Parametros Generales'!$J$9</f>
        <v>7790545.4545454569</v>
      </c>
      <c r="AC998" s="417">
        <f>+H998*'Parametros Generales'!$J$10*'Parametros Generales'!$C$6*'Parametros Generales'!$C$11</f>
        <v>29476997.534803249</v>
      </c>
      <c r="AD998" s="417"/>
      <c r="AE998" s="417"/>
      <c r="AF998" s="417"/>
      <c r="AG998" s="417"/>
      <c r="AH998" s="417"/>
      <c r="AI998" s="417"/>
      <c r="AJ998" s="417"/>
      <c r="AK998" s="436"/>
      <c r="AL998" s="822"/>
    </row>
    <row r="999" spans="1:38" s="33" customFormat="1" hidden="1" outlineLevel="1">
      <c r="A999" s="1150"/>
      <c r="B999" s="821">
        <v>73</v>
      </c>
      <c r="C999" s="371" t="s">
        <v>631</v>
      </c>
      <c r="D999" s="31">
        <f>+VLOOKUP(E999,Codigos!$A$1:$B$1123,2,0)</f>
        <v>73217</v>
      </c>
      <c r="E999" s="1111" t="s">
        <v>2212</v>
      </c>
      <c r="F999" s="1103">
        <v>1</v>
      </c>
      <c r="G999" s="30">
        <v>198</v>
      </c>
      <c r="H999" s="1061">
        <f>CEILING(G999,'Parametros Generales'!$C$8)</f>
        <v>200</v>
      </c>
      <c r="I999" s="1057" t="s">
        <v>637</v>
      </c>
      <c r="J999" s="1058">
        <v>200</v>
      </c>
      <c r="K999" s="1070" t="str">
        <f t="shared" si="78"/>
        <v>Ok</v>
      </c>
      <c r="L999" s="1077">
        <f t="shared" si="79"/>
        <v>0</v>
      </c>
      <c r="M999" s="1090">
        <f>+H999/'Parametros Generales'!$C$8</f>
        <v>8</v>
      </c>
      <c r="N999" s="1097"/>
      <c r="O999" s="1097"/>
      <c r="P999" s="1097"/>
      <c r="Q999" s="1097"/>
      <c r="R999" s="1097">
        <f>+(M999/'Parametros Generales'!$C$9)</f>
        <v>2</v>
      </c>
      <c r="S999" s="390"/>
      <c r="T999" s="390"/>
      <c r="U999" s="390"/>
      <c r="V999" s="389"/>
      <c r="W999" s="32">
        <f>+R999*'Componentes T.H.'!$Q$9*'Parametros Generales'!$C$6</f>
        <v>10037014.142000001</v>
      </c>
      <c r="X999" s="32">
        <f>(+VLOOKUP(C999,'Transporte y Viaticos'!$B$87:$L$120,2,0)*'Parametros Generales'!$C$7*R999)*(2/3)</f>
        <v>765132.47196456906</v>
      </c>
      <c r="Y999" s="417"/>
      <c r="Z999" s="417"/>
      <c r="AA999" s="417"/>
      <c r="AB999" s="417">
        <f>+M999*'Parametros Generales'!$C$6*'Parametros Generales'!$J$9</f>
        <v>3895272.7272727285</v>
      </c>
      <c r="AC999" s="417">
        <f>+H999*'Parametros Generales'!$J$10*'Parametros Generales'!$C$6*'Parametros Generales'!$C$11</f>
        <v>14738498.767401624</v>
      </c>
      <c r="AD999" s="417"/>
      <c r="AE999" s="417"/>
      <c r="AF999" s="417"/>
      <c r="AG999" s="417"/>
      <c r="AH999" s="417"/>
      <c r="AI999" s="417"/>
      <c r="AJ999" s="417"/>
      <c r="AK999" s="436"/>
      <c r="AL999" s="822"/>
    </row>
    <row r="1000" spans="1:38" s="33" customFormat="1" hidden="1" outlineLevel="1">
      <c r="A1000" s="1150"/>
      <c r="B1000" s="821">
        <v>73</v>
      </c>
      <c r="C1000" s="371" t="s">
        <v>631</v>
      </c>
      <c r="D1000" s="31">
        <f>+VLOOKUP(E1000,Codigos!$A$1:$B$1123,2,0)</f>
        <v>73236</v>
      </c>
      <c r="E1000" s="1111" t="s">
        <v>2213</v>
      </c>
      <c r="F1000" s="1103">
        <v>1</v>
      </c>
      <c r="G1000" s="30">
        <v>198</v>
      </c>
      <c r="H1000" s="1061">
        <f>CEILING(G1000,'Parametros Generales'!$C$8)</f>
        <v>200</v>
      </c>
      <c r="I1000" s="1057" t="s">
        <v>638</v>
      </c>
      <c r="J1000" s="1058">
        <v>200</v>
      </c>
      <c r="K1000" s="1070" t="str">
        <f t="shared" si="78"/>
        <v>Ok</v>
      </c>
      <c r="L1000" s="1077">
        <f t="shared" si="79"/>
        <v>0</v>
      </c>
      <c r="M1000" s="1090">
        <f>+H1000/'Parametros Generales'!$C$8</f>
        <v>8</v>
      </c>
      <c r="N1000" s="1097"/>
      <c r="O1000" s="1097"/>
      <c r="P1000" s="1097"/>
      <c r="Q1000" s="1097"/>
      <c r="R1000" s="1097">
        <f>+(M1000/'Parametros Generales'!$C$9)</f>
        <v>2</v>
      </c>
      <c r="S1000" s="390"/>
      <c r="T1000" s="390"/>
      <c r="U1000" s="390"/>
      <c r="V1000" s="389"/>
      <c r="W1000" s="32">
        <f>+R1000*'Componentes T.H.'!$Q$9*'Parametros Generales'!$C$6</f>
        <v>10037014.142000001</v>
      </c>
      <c r="X1000" s="32">
        <f>(+VLOOKUP(C1000,'Transporte y Viaticos'!$B$87:$L$120,2,0)*'Parametros Generales'!$C$7*R1000)*(2/3)</f>
        <v>765132.47196456906</v>
      </c>
      <c r="Y1000" s="417"/>
      <c r="Z1000" s="417"/>
      <c r="AA1000" s="417"/>
      <c r="AB1000" s="417">
        <f>+M1000*'Parametros Generales'!$C$6*'Parametros Generales'!$J$9</f>
        <v>3895272.7272727285</v>
      </c>
      <c r="AC1000" s="417">
        <f>+H1000*'Parametros Generales'!$J$10*'Parametros Generales'!$C$6*'Parametros Generales'!$C$11</f>
        <v>14738498.767401624</v>
      </c>
      <c r="AD1000" s="417"/>
      <c r="AE1000" s="417"/>
      <c r="AF1000" s="417"/>
      <c r="AG1000" s="417"/>
      <c r="AH1000" s="417"/>
      <c r="AI1000" s="417"/>
      <c r="AJ1000" s="417"/>
      <c r="AK1000" s="436"/>
      <c r="AL1000" s="822"/>
    </row>
    <row r="1001" spans="1:38" s="33" customFormat="1" hidden="1" outlineLevel="1">
      <c r="A1001" s="1150"/>
      <c r="B1001" s="821">
        <v>73</v>
      </c>
      <c r="C1001" s="371" t="s">
        <v>631</v>
      </c>
      <c r="D1001" s="31">
        <f>+VLOOKUP(E1001,Codigos!$A$1:$B$1123,2,0)</f>
        <v>73268</v>
      </c>
      <c r="E1001" s="1111" t="s">
        <v>2214</v>
      </c>
      <c r="F1001" s="1103">
        <v>1</v>
      </c>
      <c r="G1001" s="30">
        <v>198</v>
      </c>
      <c r="H1001" s="1061">
        <f>CEILING(G1001,'Parametros Generales'!$C$8)</f>
        <v>200</v>
      </c>
      <c r="I1001" s="1057" t="s">
        <v>639</v>
      </c>
      <c r="J1001" s="1058">
        <v>200</v>
      </c>
      <c r="K1001" s="1070" t="str">
        <f t="shared" si="78"/>
        <v>Ok</v>
      </c>
      <c r="L1001" s="1077">
        <f t="shared" si="79"/>
        <v>0</v>
      </c>
      <c r="M1001" s="1090">
        <f>+H1001/'Parametros Generales'!$C$8</f>
        <v>8</v>
      </c>
      <c r="N1001" s="1097"/>
      <c r="O1001" s="1097"/>
      <c r="P1001" s="1097"/>
      <c r="Q1001" s="1097"/>
      <c r="R1001" s="1097">
        <f>+(M1001/'Parametros Generales'!$C$9)</f>
        <v>2</v>
      </c>
      <c r="S1001" s="390"/>
      <c r="T1001" s="390"/>
      <c r="U1001" s="390"/>
      <c r="V1001" s="389"/>
      <c r="W1001" s="32">
        <f>+R1001*'Componentes T.H.'!$Q$9*'Parametros Generales'!$C$6</f>
        <v>10037014.142000001</v>
      </c>
      <c r="X1001" s="32">
        <f>(+VLOOKUP(C1001,'Transporte y Viaticos'!$B$87:$L$120,2,0)*'Parametros Generales'!$C$7*R1001)*(2/3)</f>
        <v>765132.47196456906</v>
      </c>
      <c r="Y1001" s="417"/>
      <c r="Z1001" s="417"/>
      <c r="AA1001" s="417"/>
      <c r="AB1001" s="417">
        <f>+M1001*'Parametros Generales'!$C$6*'Parametros Generales'!$J$9</f>
        <v>3895272.7272727285</v>
      </c>
      <c r="AC1001" s="417">
        <f>+H1001*'Parametros Generales'!$J$10*'Parametros Generales'!$C$6*'Parametros Generales'!$C$11</f>
        <v>14738498.767401624</v>
      </c>
      <c r="AD1001" s="417"/>
      <c r="AE1001" s="417"/>
      <c r="AF1001" s="417"/>
      <c r="AG1001" s="417"/>
      <c r="AH1001" s="417"/>
      <c r="AI1001" s="417"/>
      <c r="AJ1001" s="417"/>
      <c r="AK1001" s="436"/>
      <c r="AL1001" s="822"/>
    </row>
    <row r="1002" spans="1:38" s="33" customFormat="1" hidden="1" outlineLevel="1">
      <c r="A1002" s="1150"/>
      <c r="B1002" s="821">
        <v>73</v>
      </c>
      <c r="C1002" s="371" t="s">
        <v>631</v>
      </c>
      <c r="D1002" s="31">
        <f>+VLOOKUP(E1002,Codigos!$A$1:$B$1123,2,0)</f>
        <v>73275</v>
      </c>
      <c r="E1002" s="1111" t="s">
        <v>2215</v>
      </c>
      <c r="F1002" s="1103">
        <v>1</v>
      </c>
      <c r="G1002" s="30">
        <v>198</v>
      </c>
      <c r="H1002" s="1061">
        <f>CEILING(G1002,'Parametros Generales'!$C$8)</f>
        <v>200</v>
      </c>
      <c r="I1002" s="1057" t="s">
        <v>640</v>
      </c>
      <c r="J1002" s="1058">
        <v>200</v>
      </c>
      <c r="K1002" s="1070" t="str">
        <f t="shared" si="78"/>
        <v>Ok</v>
      </c>
      <c r="L1002" s="1077">
        <f t="shared" si="79"/>
        <v>0</v>
      </c>
      <c r="M1002" s="1090">
        <f>+H1002/'Parametros Generales'!$C$8</f>
        <v>8</v>
      </c>
      <c r="N1002" s="1097"/>
      <c r="O1002" s="1097"/>
      <c r="P1002" s="1097"/>
      <c r="Q1002" s="1097"/>
      <c r="R1002" s="1097">
        <f>+(M1002/'Parametros Generales'!$C$9)</f>
        <v>2</v>
      </c>
      <c r="S1002" s="390"/>
      <c r="T1002" s="390"/>
      <c r="U1002" s="390"/>
      <c r="V1002" s="389"/>
      <c r="W1002" s="32">
        <f>+R1002*'Componentes T.H.'!$Q$9*'Parametros Generales'!$C$6</f>
        <v>10037014.142000001</v>
      </c>
      <c r="X1002" s="32">
        <f>(+VLOOKUP(C1002,'Transporte y Viaticos'!$B$87:$L$120,2,0)*'Parametros Generales'!$C$7*R1002)*(2/3)</f>
        <v>765132.47196456906</v>
      </c>
      <c r="Y1002" s="417"/>
      <c r="Z1002" s="417"/>
      <c r="AA1002" s="417"/>
      <c r="AB1002" s="417">
        <f>+M1002*'Parametros Generales'!$C$6*'Parametros Generales'!$J$9</f>
        <v>3895272.7272727285</v>
      </c>
      <c r="AC1002" s="417">
        <f>+H1002*'Parametros Generales'!$J$10*'Parametros Generales'!$C$6*'Parametros Generales'!$C$11</f>
        <v>14738498.767401624</v>
      </c>
      <c r="AD1002" s="417"/>
      <c r="AE1002" s="417"/>
      <c r="AF1002" s="417"/>
      <c r="AG1002" s="417"/>
      <c r="AH1002" s="417"/>
      <c r="AI1002" s="417"/>
      <c r="AJ1002" s="417"/>
      <c r="AK1002" s="436"/>
      <c r="AL1002" s="822"/>
    </row>
    <row r="1003" spans="1:38" s="33" customFormat="1" hidden="1" outlineLevel="1">
      <c r="A1003" s="1150"/>
      <c r="B1003" s="821">
        <v>73</v>
      </c>
      <c r="C1003" s="371" t="s">
        <v>631</v>
      </c>
      <c r="D1003" s="31">
        <f>+VLOOKUP(E1003,Codigos!$A$1:$B$1123,2,0)</f>
        <v>73283</v>
      </c>
      <c r="E1003" s="1111" t="s">
        <v>2216</v>
      </c>
      <c r="F1003" s="1103">
        <v>1</v>
      </c>
      <c r="G1003" s="30">
        <v>198</v>
      </c>
      <c r="H1003" s="1061">
        <f>CEILING(G1003,'Parametros Generales'!$C$8)</f>
        <v>200</v>
      </c>
      <c r="I1003" s="1057" t="s">
        <v>641</v>
      </c>
      <c r="J1003" s="1058">
        <v>200</v>
      </c>
      <c r="K1003" s="1070" t="str">
        <f t="shared" si="78"/>
        <v>Ok</v>
      </c>
      <c r="L1003" s="1077">
        <f t="shared" si="79"/>
        <v>0</v>
      </c>
      <c r="M1003" s="1090">
        <f>+H1003/'Parametros Generales'!$C$8</f>
        <v>8</v>
      </c>
      <c r="N1003" s="1097"/>
      <c r="O1003" s="1097"/>
      <c r="P1003" s="1097"/>
      <c r="Q1003" s="1097"/>
      <c r="R1003" s="1097">
        <f>+(M1003/'Parametros Generales'!$C$9)</f>
        <v>2</v>
      </c>
      <c r="S1003" s="390"/>
      <c r="T1003" s="390"/>
      <c r="U1003" s="390"/>
      <c r="V1003" s="389"/>
      <c r="W1003" s="32">
        <f>+R1003*'Componentes T.H.'!$Q$9*'Parametros Generales'!$C$6</f>
        <v>10037014.142000001</v>
      </c>
      <c r="X1003" s="32">
        <f>(+VLOOKUP(C1003,'Transporte y Viaticos'!$B$87:$L$120,2,0)*'Parametros Generales'!$C$7*R1003)*(2/3)</f>
        <v>765132.47196456906</v>
      </c>
      <c r="Y1003" s="417"/>
      <c r="Z1003" s="417"/>
      <c r="AA1003" s="417"/>
      <c r="AB1003" s="417">
        <f>+M1003*'Parametros Generales'!$C$6*'Parametros Generales'!$J$9</f>
        <v>3895272.7272727285</v>
      </c>
      <c r="AC1003" s="417">
        <f>+H1003*'Parametros Generales'!$J$10*'Parametros Generales'!$C$6*'Parametros Generales'!$C$11</f>
        <v>14738498.767401624</v>
      </c>
      <c r="AD1003" s="417"/>
      <c r="AE1003" s="417"/>
      <c r="AF1003" s="417"/>
      <c r="AG1003" s="417"/>
      <c r="AH1003" s="417"/>
      <c r="AI1003" s="417"/>
      <c r="AJ1003" s="417"/>
      <c r="AK1003" s="436"/>
      <c r="AL1003" s="822"/>
    </row>
    <row r="1004" spans="1:38" s="33" customFormat="1" hidden="1" outlineLevel="1">
      <c r="A1004" s="1150"/>
      <c r="B1004" s="821">
        <v>73</v>
      </c>
      <c r="C1004" s="371" t="s">
        <v>631</v>
      </c>
      <c r="D1004" s="31">
        <f>+VLOOKUP(E1004,Codigos!$A$1:$B$1123,2,0)</f>
        <v>73319</v>
      </c>
      <c r="E1004" s="1111" t="s">
        <v>2217</v>
      </c>
      <c r="F1004" s="1103">
        <v>1</v>
      </c>
      <c r="G1004" s="30">
        <v>198</v>
      </c>
      <c r="H1004" s="1061">
        <f>CEILING(G1004,'Parametros Generales'!$C$8)</f>
        <v>200</v>
      </c>
      <c r="I1004" s="1057" t="s">
        <v>642</v>
      </c>
      <c r="J1004" s="1058">
        <v>200</v>
      </c>
      <c r="K1004" s="1070" t="str">
        <f t="shared" si="78"/>
        <v>Ok</v>
      </c>
      <c r="L1004" s="1077">
        <f t="shared" si="79"/>
        <v>0</v>
      </c>
      <c r="M1004" s="1090">
        <f>+H1004/'Parametros Generales'!$C$8</f>
        <v>8</v>
      </c>
      <c r="N1004" s="1097"/>
      <c r="O1004" s="1097"/>
      <c r="P1004" s="1097"/>
      <c r="Q1004" s="1097"/>
      <c r="R1004" s="1097">
        <f>+(M1004/'Parametros Generales'!$C$9)</f>
        <v>2</v>
      </c>
      <c r="S1004" s="390"/>
      <c r="T1004" s="390"/>
      <c r="U1004" s="390"/>
      <c r="V1004" s="389"/>
      <c r="W1004" s="32">
        <f>+R1004*'Componentes T.H.'!$Q$9*'Parametros Generales'!$C$6</f>
        <v>10037014.142000001</v>
      </c>
      <c r="X1004" s="32">
        <f>(+VLOOKUP(C1004,'Transporte y Viaticos'!$B$87:$L$120,2,0)*'Parametros Generales'!$C$7*R1004)*(2/3)</f>
        <v>765132.47196456906</v>
      </c>
      <c r="Y1004" s="417"/>
      <c r="Z1004" s="417"/>
      <c r="AA1004" s="417"/>
      <c r="AB1004" s="417">
        <f>+M1004*'Parametros Generales'!$C$6*'Parametros Generales'!$J$9</f>
        <v>3895272.7272727285</v>
      </c>
      <c r="AC1004" s="417">
        <f>+H1004*'Parametros Generales'!$J$10*'Parametros Generales'!$C$6*'Parametros Generales'!$C$11</f>
        <v>14738498.767401624</v>
      </c>
      <c r="AD1004" s="417"/>
      <c r="AE1004" s="417"/>
      <c r="AF1004" s="417"/>
      <c r="AG1004" s="417"/>
      <c r="AH1004" s="417"/>
      <c r="AI1004" s="417"/>
      <c r="AJ1004" s="417"/>
      <c r="AK1004" s="436"/>
      <c r="AL1004" s="822"/>
    </row>
    <row r="1005" spans="1:38" s="33" customFormat="1" hidden="1" outlineLevel="1">
      <c r="A1005" s="1150"/>
      <c r="B1005" s="821">
        <v>73</v>
      </c>
      <c r="C1005" s="371" t="s">
        <v>631</v>
      </c>
      <c r="D1005" s="31">
        <f>+VLOOKUP(E1005,Codigos!$A$1:$B$1123,2,0)</f>
        <v>73349</v>
      </c>
      <c r="E1005" s="1111" t="s">
        <v>2218</v>
      </c>
      <c r="F1005" s="1103">
        <v>1</v>
      </c>
      <c r="G1005" s="30">
        <v>198</v>
      </c>
      <c r="H1005" s="1061">
        <f>CEILING(G1005,'Parametros Generales'!$C$8)</f>
        <v>200</v>
      </c>
      <c r="I1005" s="1057" t="s">
        <v>643</v>
      </c>
      <c r="J1005" s="1058">
        <v>200</v>
      </c>
      <c r="K1005" s="1070" t="str">
        <f t="shared" si="78"/>
        <v>Ok</v>
      </c>
      <c r="L1005" s="1077">
        <f t="shared" si="79"/>
        <v>0</v>
      </c>
      <c r="M1005" s="1090">
        <f>+H1005/'Parametros Generales'!$C$8</f>
        <v>8</v>
      </c>
      <c r="N1005" s="1097"/>
      <c r="O1005" s="1097"/>
      <c r="P1005" s="1097"/>
      <c r="Q1005" s="1097"/>
      <c r="R1005" s="1097">
        <f>+(M1005/'Parametros Generales'!$C$9)</f>
        <v>2</v>
      </c>
      <c r="S1005" s="390"/>
      <c r="T1005" s="390"/>
      <c r="U1005" s="390"/>
      <c r="V1005" s="389"/>
      <c r="W1005" s="32">
        <f>+R1005*'Componentes T.H.'!$Q$9*'Parametros Generales'!$C$6</f>
        <v>10037014.142000001</v>
      </c>
      <c r="X1005" s="32">
        <f>(+VLOOKUP(C1005,'Transporte y Viaticos'!$B$87:$L$120,2,0)*'Parametros Generales'!$C$7*R1005)*(2/3)</f>
        <v>765132.47196456906</v>
      </c>
      <c r="Y1005" s="417"/>
      <c r="Z1005" s="417"/>
      <c r="AA1005" s="417"/>
      <c r="AB1005" s="417">
        <f>+M1005*'Parametros Generales'!$C$6*'Parametros Generales'!$J$9</f>
        <v>3895272.7272727285</v>
      </c>
      <c r="AC1005" s="417">
        <f>+H1005*'Parametros Generales'!$J$10*'Parametros Generales'!$C$6*'Parametros Generales'!$C$11</f>
        <v>14738498.767401624</v>
      </c>
      <c r="AD1005" s="417"/>
      <c r="AE1005" s="417"/>
      <c r="AF1005" s="417"/>
      <c r="AG1005" s="417"/>
      <c r="AH1005" s="417"/>
      <c r="AI1005" s="417"/>
      <c r="AJ1005" s="417"/>
      <c r="AK1005" s="436"/>
      <c r="AL1005" s="822"/>
    </row>
    <row r="1006" spans="1:38" s="33" customFormat="1" hidden="1" outlineLevel="1">
      <c r="A1006" s="1150"/>
      <c r="B1006" s="821">
        <v>73</v>
      </c>
      <c r="C1006" s="371" t="s">
        <v>631</v>
      </c>
      <c r="D1006" s="31">
        <f>+VLOOKUP(E1006,Codigos!$A$1:$B$1123,2,0)</f>
        <v>73408</v>
      </c>
      <c r="E1006" s="1111" t="s">
        <v>2219</v>
      </c>
      <c r="F1006" s="1103">
        <v>1</v>
      </c>
      <c r="G1006" s="30">
        <v>198</v>
      </c>
      <c r="H1006" s="1061">
        <f>CEILING(G1006,'Parametros Generales'!$C$8)</f>
        <v>200</v>
      </c>
      <c r="I1006" s="1057" t="s">
        <v>644</v>
      </c>
      <c r="J1006" s="1058">
        <v>200</v>
      </c>
      <c r="K1006" s="1070" t="str">
        <f t="shared" si="78"/>
        <v>Ok</v>
      </c>
      <c r="L1006" s="1077">
        <f t="shared" si="79"/>
        <v>0</v>
      </c>
      <c r="M1006" s="1090">
        <f>+H1006/'Parametros Generales'!$C$8</f>
        <v>8</v>
      </c>
      <c r="N1006" s="1097"/>
      <c r="O1006" s="1097"/>
      <c r="P1006" s="1097"/>
      <c r="Q1006" s="1097"/>
      <c r="R1006" s="1097">
        <f>+(M1006/'Parametros Generales'!$C$9)</f>
        <v>2</v>
      </c>
      <c r="S1006" s="390"/>
      <c r="T1006" s="390"/>
      <c r="U1006" s="390"/>
      <c r="V1006" s="389"/>
      <c r="W1006" s="32">
        <f>+R1006*'Componentes T.H.'!$Q$9*'Parametros Generales'!$C$6</f>
        <v>10037014.142000001</v>
      </c>
      <c r="X1006" s="32">
        <f>(+VLOOKUP(C1006,'Transporte y Viaticos'!$B$87:$L$120,2,0)*'Parametros Generales'!$C$7*R1006)*(2/3)</f>
        <v>765132.47196456906</v>
      </c>
      <c r="Y1006" s="417"/>
      <c r="Z1006" s="417"/>
      <c r="AA1006" s="417"/>
      <c r="AB1006" s="417">
        <f>+M1006*'Parametros Generales'!$C$6*'Parametros Generales'!$J$9</f>
        <v>3895272.7272727285</v>
      </c>
      <c r="AC1006" s="417">
        <f>+H1006*'Parametros Generales'!$J$10*'Parametros Generales'!$C$6*'Parametros Generales'!$C$11</f>
        <v>14738498.767401624</v>
      </c>
      <c r="AD1006" s="417"/>
      <c r="AE1006" s="417"/>
      <c r="AF1006" s="417"/>
      <c r="AG1006" s="417"/>
      <c r="AH1006" s="417"/>
      <c r="AI1006" s="417"/>
      <c r="AJ1006" s="417"/>
      <c r="AK1006" s="436"/>
      <c r="AL1006" s="822"/>
    </row>
    <row r="1007" spans="1:38" s="33" customFormat="1" hidden="1" outlineLevel="1">
      <c r="A1007" s="1150"/>
      <c r="B1007" s="821">
        <v>73</v>
      </c>
      <c r="C1007" s="371" t="s">
        <v>631</v>
      </c>
      <c r="D1007" s="31">
        <f>+VLOOKUP(E1007,Codigos!$A$1:$B$1123,2,0)</f>
        <v>73411</v>
      </c>
      <c r="E1007" s="1111" t="s">
        <v>2220</v>
      </c>
      <c r="F1007" s="1103">
        <v>1</v>
      </c>
      <c r="G1007" s="30">
        <v>198</v>
      </c>
      <c r="H1007" s="1061">
        <f>CEILING(G1007,'Parametros Generales'!$C$8)</f>
        <v>200</v>
      </c>
      <c r="I1007" s="1057" t="s">
        <v>645</v>
      </c>
      <c r="J1007" s="1058">
        <v>200</v>
      </c>
      <c r="K1007" s="1070" t="str">
        <f t="shared" si="78"/>
        <v>Ok</v>
      </c>
      <c r="L1007" s="1077">
        <f t="shared" si="79"/>
        <v>0</v>
      </c>
      <c r="M1007" s="1090">
        <f>+H1007/'Parametros Generales'!$C$8</f>
        <v>8</v>
      </c>
      <c r="N1007" s="1097"/>
      <c r="O1007" s="1097"/>
      <c r="P1007" s="1097"/>
      <c r="Q1007" s="1097"/>
      <c r="R1007" s="1097">
        <f>+(M1007/'Parametros Generales'!$C$9)</f>
        <v>2</v>
      </c>
      <c r="S1007" s="390"/>
      <c r="T1007" s="390"/>
      <c r="U1007" s="390"/>
      <c r="V1007" s="389"/>
      <c r="W1007" s="32">
        <f>+R1007*'Componentes T.H.'!$Q$9*'Parametros Generales'!$C$6</f>
        <v>10037014.142000001</v>
      </c>
      <c r="X1007" s="32">
        <f>(+VLOOKUP(C1007,'Transporte y Viaticos'!$B$87:$L$120,2,0)*'Parametros Generales'!$C$7*R1007)*(2/3)</f>
        <v>765132.47196456906</v>
      </c>
      <c r="Y1007" s="417"/>
      <c r="Z1007" s="417"/>
      <c r="AA1007" s="417"/>
      <c r="AB1007" s="417">
        <f>+M1007*'Parametros Generales'!$C$6*'Parametros Generales'!$J$9</f>
        <v>3895272.7272727285</v>
      </c>
      <c r="AC1007" s="417">
        <f>+H1007*'Parametros Generales'!$J$10*'Parametros Generales'!$C$6*'Parametros Generales'!$C$11</f>
        <v>14738498.767401624</v>
      </c>
      <c r="AD1007" s="417"/>
      <c r="AE1007" s="417"/>
      <c r="AF1007" s="417"/>
      <c r="AG1007" s="417"/>
      <c r="AH1007" s="417"/>
      <c r="AI1007" s="417"/>
      <c r="AJ1007" s="417"/>
      <c r="AK1007" s="436"/>
      <c r="AL1007" s="822"/>
    </row>
    <row r="1008" spans="1:38" s="33" customFormat="1" hidden="1" outlineLevel="1">
      <c r="A1008" s="1150"/>
      <c r="B1008" s="821">
        <v>73</v>
      </c>
      <c r="C1008" s="371" t="s">
        <v>631</v>
      </c>
      <c r="D1008" s="31">
        <f>+VLOOKUP(E1008,Codigos!$A$1:$B$1123,2,0)</f>
        <v>73443</v>
      </c>
      <c r="E1008" s="1111" t="s">
        <v>2221</v>
      </c>
      <c r="F1008" s="1103">
        <v>1</v>
      </c>
      <c r="G1008" s="30">
        <v>198</v>
      </c>
      <c r="H1008" s="1061">
        <f>CEILING(G1008,'Parametros Generales'!$C$8)</f>
        <v>200</v>
      </c>
      <c r="I1008" s="1057" t="s">
        <v>646</v>
      </c>
      <c r="J1008" s="1058">
        <v>200</v>
      </c>
      <c r="K1008" s="1070" t="str">
        <f t="shared" si="78"/>
        <v>Ok</v>
      </c>
      <c r="L1008" s="1077">
        <f t="shared" si="79"/>
        <v>0</v>
      </c>
      <c r="M1008" s="1090">
        <f>+H1008/'Parametros Generales'!$C$8</f>
        <v>8</v>
      </c>
      <c r="N1008" s="1097"/>
      <c r="O1008" s="1097"/>
      <c r="P1008" s="1097"/>
      <c r="Q1008" s="1097"/>
      <c r="R1008" s="1097">
        <f>+(M1008/'Parametros Generales'!$C$9)</f>
        <v>2</v>
      </c>
      <c r="S1008" s="390"/>
      <c r="T1008" s="390"/>
      <c r="U1008" s="390"/>
      <c r="V1008" s="389"/>
      <c r="W1008" s="32">
        <f>+R1008*'Componentes T.H.'!$Q$9*'Parametros Generales'!$C$6</f>
        <v>10037014.142000001</v>
      </c>
      <c r="X1008" s="32">
        <f>(+VLOOKUP(C1008,'Transporte y Viaticos'!$B$87:$L$120,2,0)*'Parametros Generales'!$C$7*R1008)*(2/3)</f>
        <v>765132.47196456906</v>
      </c>
      <c r="Y1008" s="417"/>
      <c r="Z1008" s="417"/>
      <c r="AA1008" s="417"/>
      <c r="AB1008" s="417">
        <f>+M1008*'Parametros Generales'!$C$6*'Parametros Generales'!$J$9</f>
        <v>3895272.7272727285</v>
      </c>
      <c r="AC1008" s="417">
        <f>+H1008*'Parametros Generales'!$J$10*'Parametros Generales'!$C$6*'Parametros Generales'!$C$11</f>
        <v>14738498.767401624</v>
      </c>
      <c r="AD1008" s="417"/>
      <c r="AE1008" s="417"/>
      <c r="AF1008" s="417"/>
      <c r="AG1008" s="417"/>
      <c r="AH1008" s="417"/>
      <c r="AI1008" s="417"/>
      <c r="AJ1008" s="417"/>
      <c r="AK1008" s="436"/>
      <c r="AL1008" s="822"/>
    </row>
    <row r="1009" spans="1:38" s="33" customFormat="1" hidden="1" outlineLevel="1">
      <c r="A1009" s="1150"/>
      <c r="B1009" s="821">
        <v>73</v>
      </c>
      <c r="C1009" s="371" t="s">
        <v>631</v>
      </c>
      <c r="D1009" s="31">
        <f>+VLOOKUP(E1009,Codigos!$A$1:$B$1123,2,0)</f>
        <v>73449</v>
      </c>
      <c r="E1009" s="1111" t="s">
        <v>2222</v>
      </c>
      <c r="F1009" s="1103">
        <v>1</v>
      </c>
      <c r="G1009" s="30">
        <v>198</v>
      </c>
      <c r="H1009" s="1061">
        <f>CEILING(G1009,'Parametros Generales'!$C$8)</f>
        <v>200</v>
      </c>
      <c r="I1009" s="1057" t="s">
        <v>647</v>
      </c>
      <c r="J1009" s="1058">
        <v>200</v>
      </c>
      <c r="K1009" s="1070" t="str">
        <f t="shared" si="78"/>
        <v>Ok</v>
      </c>
      <c r="L1009" s="1077">
        <f t="shared" si="79"/>
        <v>0</v>
      </c>
      <c r="M1009" s="1090">
        <f>+H1009/'Parametros Generales'!$C$8</f>
        <v>8</v>
      </c>
      <c r="N1009" s="1097"/>
      <c r="O1009" s="1097"/>
      <c r="P1009" s="1097"/>
      <c r="Q1009" s="1097"/>
      <c r="R1009" s="1097">
        <f>+(M1009/'Parametros Generales'!$C$9)</f>
        <v>2</v>
      </c>
      <c r="S1009" s="390"/>
      <c r="T1009" s="390"/>
      <c r="U1009" s="390"/>
      <c r="V1009" s="389"/>
      <c r="W1009" s="32">
        <f>+R1009*'Componentes T.H.'!$Q$9*'Parametros Generales'!$C$6</f>
        <v>10037014.142000001</v>
      </c>
      <c r="X1009" s="32">
        <f>(+VLOOKUP(C1009,'Transporte y Viaticos'!$B$87:$L$120,2,0)*'Parametros Generales'!$C$7*R1009)*(2/3)</f>
        <v>765132.47196456906</v>
      </c>
      <c r="Y1009" s="417"/>
      <c r="Z1009" s="417"/>
      <c r="AA1009" s="417"/>
      <c r="AB1009" s="417">
        <f>+M1009*'Parametros Generales'!$C$6*'Parametros Generales'!$J$9</f>
        <v>3895272.7272727285</v>
      </c>
      <c r="AC1009" s="417">
        <f>+H1009*'Parametros Generales'!$J$10*'Parametros Generales'!$C$6*'Parametros Generales'!$C$11</f>
        <v>14738498.767401624</v>
      </c>
      <c r="AD1009" s="417"/>
      <c r="AE1009" s="417"/>
      <c r="AF1009" s="417"/>
      <c r="AG1009" s="417"/>
      <c r="AH1009" s="417"/>
      <c r="AI1009" s="417"/>
      <c r="AJ1009" s="417"/>
      <c r="AK1009" s="436"/>
      <c r="AL1009" s="822"/>
    </row>
    <row r="1010" spans="1:38" s="33" customFormat="1" hidden="1" outlineLevel="1">
      <c r="A1010" s="1150"/>
      <c r="B1010" s="821">
        <v>73</v>
      </c>
      <c r="C1010" s="371" t="s">
        <v>631</v>
      </c>
      <c r="D1010" s="31">
        <f>+VLOOKUP(E1010,Codigos!$A$1:$B$1123,2,0)</f>
        <v>73483</v>
      </c>
      <c r="E1010" s="1111" t="s">
        <v>2223</v>
      </c>
      <c r="F1010" s="1103">
        <v>1</v>
      </c>
      <c r="G1010" s="30">
        <v>198</v>
      </c>
      <c r="H1010" s="1061">
        <f>CEILING(G1010,'Parametros Generales'!$C$8)</f>
        <v>200</v>
      </c>
      <c r="I1010" s="1057" t="s">
        <v>648</v>
      </c>
      <c r="J1010" s="1058">
        <v>200</v>
      </c>
      <c r="K1010" s="1070" t="str">
        <f t="shared" si="78"/>
        <v>Ok</v>
      </c>
      <c r="L1010" s="1077">
        <f t="shared" si="79"/>
        <v>0</v>
      </c>
      <c r="M1010" s="1090">
        <f>+H1010/'Parametros Generales'!$C$8</f>
        <v>8</v>
      </c>
      <c r="N1010" s="1097"/>
      <c r="O1010" s="1097"/>
      <c r="P1010" s="1097"/>
      <c r="Q1010" s="1097"/>
      <c r="R1010" s="1097">
        <f>+(M1010/'Parametros Generales'!$C$9)</f>
        <v>2</v>
      </c>
      <c r="S1010" s="390"/>
      <c r="T1010" s="390"/>
      <c r="U1010" s="390"/>
      <c r="V1010" s="389"/>
      <c r="W1010" s="32">
        <f>+R1010*'Componentes T.H.'!$Q$9*'Parametros Generales'!$C$6</f>
        <v>10037014.142000001</v>
      </c>
      <c r="X1010" s="32">
        <f>(+VLOOKUP(C1010,'Transporte y Viaticos'!$B$87:$L$120,2,0)*'Parametros Generales'!$C$7*R1010)*(2/3)</f>
        <v>765132.47196456906</v>
      </c>
      <c r="Y1010" s="417"/>
      <c r="Z1010" s="417"/>
      <c r="AA1010" s="417"/>
      <c r="AB1010" s="417">
        <f>+M1010*'Parametros Generales'!$C$6*'Parametros Generales'!$J$9</f>
        <v>3895272.7272727285</v>
      </c>
      <c r="AC1010" s="417">
        <f>+H1010*'Parametros Generales'!$J$10*'Parametros Generales'!$C$6*'Parametros Generales'!$C$11</f>
        <v>14738498.767401624</v>
      </c>
      <c r="AD1010" s="417"/>
      <c r="AE1010" s="417"/>
      <c r="AF1010" s="417"/>
      <c r="AG1010" s="417"/>
      <c r="AH1010" s="417"/>
      <c r="AI1010" s="417"/>
      <c r="AJ1010" s="417"/>
      <c r="AK1010" s="436"/>
      <c r="AL1010" s="822"/>
    </row>
    <row r="1011" spans="1:38" s="33" customFormat="1" hidden="1" outlineLevel="1">
      <c r="A1011" s="1150"/>
      <c r="B1011" s="821">
        <v>73</v>
      </c>
      <c r="C1011" s="371" t="s">
        <v>631</v>
      </c>
      <c r="D1011" s="31">
        <f>+VLOOKUP(E1011,Codigos!$A$1:$B$1123,2,0)</f>
        <v>73504</v>
      </c>
      <c r="E1011" s="1111" t="s">
        <v>2224</v>
      </c>
      <c r="F1011" s="1103">
        <v>1</v>
      </c>
      <c r="G1011" s="30">
        <v>198</v>
      </c>
      <c r="H1011" s="1061">
        <f>CEILING(G1011,'Parametros Generales'!$C$8)</f>
        <v>200</v>
      </c>
      <c r="I1011" s="1057" t="s">
        <v>649</v>
      </c>
      <c r="J1011" s="1058">
        <v>200</v>
      </c>
      <c r="K1011" s="1070" t="str">
        <f t="shared" si="78"/>
        <v>Ok</v>
      </c>
      <c r="L1011" s="1077">
        <f t="shared" si="79"/>
        <v>0</v>
      </c>
      <c r="M1011" s="1090">
        <f>+H1011/'Parametros Generales'!$C$8</f>
        <v>8</v>
      </c>
      <c r="N1011" s="1097"/>
      <c r="O1011" s="1097"/>
      <c r="P1011" s="1097"/>
      <c r="Q1011" s="1097"/>
      <c r="R1011" s="1097">
        <f>+(M1011/'Parametros Generales'!$C$9)</f>
        <v>2</v>
      </c>
      <c r="S1011" s="390"/>
      <c r="T1011" s="390"/>
      <c r="U1011" s="390"/>
      <c r="V1011" s="389"/>
      <c r="W1011" s="32">
        <f>+R1011*'Componentes T.H.'!$Q$9*'Parametros Generales'!$C$6</f>
        <v>10037014.142000001</v>
      </c>
      <c r="X1011" s="32">
        <f>(+VLOOKUP(C1011,'Transporte y Viaticos'!$B$87:$L$120,2,0)*'Parametros Generales'!$C$7*R1011)*(2/3)</f>
        <v>765132.47196456906</v>
      </c>
      <c r="Y1011" s="417"/>
      <c r="Z1011" s="417"/>
      <c r="AA1011" s="417"/>
      <c r="AB1011" s="417">
        <f>+M1011*'Parametros Generales'!$C$6*'Parametros Generales'!$J$9</f>
        <v>3895272.7272727285</v>
      </c>
      <c r="AC1011" s="417">
        <f>+H1011*'Parametros Generales'!$J$10*'Parametros Generales'!$C$6*'Parametros Generales'!$C$11</f>
        <v>14738498.767401624</v>
      </c>
      <c r="AD1011" s="417"/>
      <c r="AE1011" s="417"/>
      <c r="AF1011" s="417"/>
      <c r="AG1011" s="417"/>
      <c r="AH1011" s="417"/>
      <c r="AI1011" s="417"/>
      <c r="AJ1011" s="417"/>
      <c r="AK1011" s="436"/>
      <c r="AL1011" s="822"/>
    </row>
    <row r="1012" spans="1:38" s="33" customFormat="1" hidden="1" outlineLevel="1">
      <c r="A1012" s="1150"/>
      <c r="B1012" s="821">
        <v>73</v>
      </c>
      <c r="C1012" s="371" t="s">
        <v>631</v>
      </c>
      <c r="D1012" s="31">
        <f>+VLOOKUP(E1012,Codigos!$A$1:$B$1123,2,0)</f>
        <v>73555</v>
      </c>
      <c r="E1012" s="1111" t="s">
        <v>2225</v>
      </c>
      <c r="F1012" s="1103">
        <v>1</v>
      </c>
      <c r="G1012" s="30">
        <v>198</v>
      </c>
      <c r="H1012" s="1061">
        <f>CEILING(G1012,'Parametros Generales'!$C$8)</f>
        <v>200</v>
      </c>
      <c r="I1012" s="1057" t="s">
        <v>650</v>
      </c>
      <c r="J1012" s="1058">
        <v>200</v>
      </c>
      <c r="K1012" s="1070" t="str">
        <f t="shared" si="78"/>
        <v>Ok</v>
      </c>
      <c r="L1012" s="1077">
        <f t="shared" si="79"/>
        <v>0</v>
      </c>
      <c r="M1012" s="1090">
        <f>+H1012/'Parametros Generales'!$C$8</f>
        <v>8</v>
      </c>
      <c r="N1012" s="1097"/>
      <c r="O1012" s="1097"/>
      <c r="P1012" s="1097"/>
      <c r="Q1012" s="1097"/>
      <c r="R1012" s="1097">
        <f>+(M1012/'Parametros Generales'!$C$9)</f>
        <v>2</v>
      </c>
      <c r="S1012" s="390"/>
      <c r="T1012" s="390"/>
      <c r="U1012" s="390"/>
      <c r="V1012" s="389"/>
      <c r="W1012" s="32">
        <f>+R1012*'Componentes T.H.'!$Q$9*'Parametros Generales'!$C$6</f>
        <v>10037014.142000001</v>
      </c>
      <c r="X1012" s="32">
        <f>(+VLOOKUP(C1012,'Transporte y Viaticos'!$B$87:$L$120,2,0)*'Parametros Generales'!$C$7*R1012)*(2/3)</f>
        <v>765132.47196456906</v>
      </c>
      <c r="Y1012" s="417"/>
      <c r="Z1012" s="417"/>
      <c r="AA1012" s="417"/>
      <c r="AB1012" s="417">
        <f>+M1012*'Parametros Generales'!$C$6*'Parametros Generales'!$J$9</f>
        <v>3895272.7272727285</v>
      </c>
      <c r="AC1012" s="417">
        <f>+H1012*'Parametros Generales'!$J$10*'Parametros Generales'!$C$6*'Parametros Generales'!$C$11</f>
        <v>14738498.767401624</v>
      </c>
      <c r="AD1012" s="417"/>
      <c r="AE1012" s="417"/>
      <c r="AF1012" s="417"/>
      <c r="AG1012" s="417"/>
      <c r="AH1012" s="417"/>
      <c r="AI1012" s="417"/>
      <c r="AJ1012" s="417"/>
      <c r="AK1012" s="436"/>
      <c r="AL1012" s="822"/>
    </row>
    <row r="1013" spans="1:38" s="33" customFormat="1" hidden="1" outlineLevel="1">
      <c r="A1013" s="1150"/>
      <c r="B1013" s="821">
        <v>73</v>
      </c>
      <c r="C1013" s="371" t="s">
        <v>631</v>
      </c>
      <c r="D1013" s="31">
        <f>+VLOOKUP(E1013,Codigos!$A$1:$B$1123,2,0)</f>
        <v>73585</v>
      </c>
      <c r="E1013" s="1111" t="s">
        <v>2226</v>
      </c>
      <c r="F1013" s="1103">
        <v>1</v>
      </c>
      <c r="G1013" s="30">
        <v>198</v>
      </c>
      <c r="H1013" s="1061">
        <f>CEILING(G1013,'Parametros Generales'!$C$8)</f>
        <v>200</v>
      </c>
      <c r="I1013" s="1057" t="s">
        <v>651</v>
      </c>
      <c r="J1013" s="1058">
        <v>200</v>
      </c>
      <c r="K1013" s="1070" t="str">
        <f t="shared" si="78"/>
        <v>Ok</v>
      </c>
      <c r="L1013" s="1077">
        <f t="shared" si="79"/>
        <v>0</v>
      </c>
      <c r="M1013" s="1090">
        <f>+H1013/'Parametros Generales'!$C$8</f>
        <v>8</v>
      </c>
      <c r="N1013" s="1097"/>
      <c r="O1013" s="1097"/>
      <c r="P1013" s="1097"/>
      <c r="Q1013" s="1097"/>
      <c r="R1013" s="1097">
        <f>+(M1013/'Parametros Generales'!$C$9)</f>
        <v>2</v>
      </c>
      <c r="S1013" s="390"/>
      <c r="T1013" s="390"/>
      <c r="U1013" s="390"/>
      <c r="V1013" s="389"/>
      <c r="W1013" s="32">
        <f>+R1013*'Componentes T.H.'!$Q$9*'Parametros Generales'!$C$6</f>
        <v>10037014.142000001</v>
      </c>
      <c r="X1013" s="32">
        <f>(+VLOOKUP(C1013,'Transporte y Viaticos'!$B$87:$L$120,2,0)*'Parametros Generales'!$C$7*R1013)*(2/3)</f>
        <v>765132.47196456906</v>
      </c>
      <c r="Y1013" s="417"/>
      <c r="Z1013" s="417"/>
      <c r="AA1013" s="417"/>
      <c r="AB1013" s="417">
        <f>+M1013*'Parametros Generales'!$C$6*'Parametros Generales'!$J$9</f>
        <v>3895272.7272727285</v>
      </c>
      <c r="AC1013" s="417">
        <f>+H1013*'Parametros Generales'!$J$10*'Parametros Generales'!$C$6*'Parametros Generales'!$C$11</f>
        <v>14738498.767401624</v>
      </c>
      <c r="AD1013" s="417"/>
      <c r="AE1013" s="417"/>
      <c r="AF1013" s="417"/>
      <c r="AG1013" s="417"/>
      <c r="AH1013" s="417"/>
      <c r="AI1013" s="417"/>
      <c r="AJ1013" s="417"/>
      <c r="AK1013" s="436"/>
      <c r="AL1013" s="822"/>
    </row>
    <row r="1014" spans="1:38" s="33" customFormat="1" hidden="1" outlineLevel="1">
      <c r="A1014" s="1150"/>
      <c r="B1014" s="821">
        <v>73</v>
      </c>
      <c r="C1014" s="371" t="s">
        <v>631</v>
      </c>
      <c r="D1014" s="31">
        <f>+VLOOKUP(E1014,Codigos!$A$1:$B$1123,2,0)</f>
        <v>73616</v>
      </c>
      <c r="E1014" s="1111" t="s">
        <v>2227</v>
      </c>
      <c r="F1014" s="1103">
        <v>1</v>
      </c>
      <c r="G1014" s="30">
        <v>198</v>
      </c>
      <c r="H1014" s="1061">
        <f>CEILING(G1014,'Parametros Generales'!$C$8)</f>
        <v>200</v>
      </c>
      <c r="I1014" s="1057" t="s">
        <v>652</v>
      </c>
      <c r="J1014" s="1058">
        <v>200</v>
      </c>
      <c r="K1014" s="1070" t="str">
        <f t="shared" si="78"/>
        <v>Ok</v>
      </c>
      <c r="L1014" s="1077">
        <f t="shared" si="79"/>
        <v>0</v>
      </c>
      <c r="M1014" s="1090">
        <f>+H1014/'Parametros Generales'!$C$8</f>
        <v>8</v>
      </c>
      <c r="N1014" s="1097"/>
      <c r="O1014" s="1097"/>
      <c r="P1014" s="1097"/>
      <c r="Q1014" s="1097"/>
      <c r="R1014" s="1097">
        <f>+(M1014/'Parametros Generales'!$C$9)</f>
        <v>2</v>
      </c>
      <c r="S1014" s="390"/>
      <c r="T1014" s="390"/>
      <c r="U1014" s="390"/>
      <c r="V1014" s="389"/>
      <c r="W1014" s="32">
        <f>+R1014*'Componentes T.H.'!$Q$9*'Parametros Generales'!$C$6</f>
        <v>10037014.142000001</v>
      </c>
      <c r="X1014" s="32">
        <f>(+VLOOKUP(C1014,'Transporte y Viaticos'!$B$87:$L$120,2,0)*'Parametros Generales'!$C$7*R1014)*(2/3)</f>
        <v>765132.47196456906</v>
      </c>
      <c r="Y1014" s="417"/>
      <c r="Z1014" s="417"/>
      <c r="AA1014" s="417"/>
      <c r="AB1014" s="417">
        <f>+M1014*'Parametros Generales'!$C$6*'Parametros Generales'!$J$9</f>
        <v>3895272.7272727285</v>
      </c>
      <c r="AC1014" s="417">
        <f>+H1014*'Parametros Generales'!$J$10*'Parametros Generales'!$C$6*'Parametros Generales'!$C$11</f>
        <v>14738498.767401624</v>
      </c>
      <c r="AD1014" s="417"/>
      <c r="AE1014" s="417"/>
      <c r="AF1014" s="417"/>
      <c r="AG1014" s="417"/>
      <c r="AH1014" s="417"/>
      <c r="AI1014" s="417"/>
      <c r="AJ1014" s="417"/>
      <c r="AK1014" s="436"/>
      <c r="AL1014" s="822"/>
    </row>
    <row r="1015" spans="1:38" s="33" customFormat="1" hidden="1" outlineLevel="1">
      <c r="A1015" s="1150"/>
      <c r="B1015" s="821">
        <v>73</v>
      </c>
      <c r="C1015" s="371" t="s">
        <v>631</v>
      </c>
      <c r="D1015" s="31">
        <f>+VLOOKUP(E1015,Codigos!$A$1:$B$1123,2,0)</f>
        <v>73622</v>
      </c>
      <c r="E1015" s="1111" t="s">
        <v>2228</v>
      </c>
      <c r="F1015" s="1103">
        <v>1</v>
      </c>
      <c r="G1015" s="30">
        <v>198</v>
      </c>
      <c r="H1015" s="1061">
        <f>CEILING(G1015,'Parametros Generales'!$C$8)</f>
        <v>200</v>
      </c>
      <c r="I1015" s="1057" t="s">
        <v>653</v>
      </c>
      <c r="J1015" s="1058">
        <v>200</v>
      </c>
      <c r="K1015" s="1070" t="str">
        <f t="shared" si="78"/>
        <v>Ok</v>
      </c>
      <c r="L1015" s="1077">
        <f t="shared" si="79"/>
        <v>0</v>
      </c>
      <c r="M1015" s="1090">
        <f>+H1015/'Parametros Generales'!$C$8</f>
        <v>8</v>
      </c>
      <c r="N1015" s="1097"/>
      <c r="O1015" s="1097"/>
      <c r="P1015" s="1097"/>
      <c r="Q1015" s="1097"/>
      <c r="R1015" s="1097">
        <f>+(M1015/'Parametros Generales'!$C$9)</f>
        <v>2</v>
      </c>
      <c r="S1015" s="390"/>
      <c r="T1015" s="390"/>
      <c r="U1015" s="390"/>
      <c r="V1015" s="389"/>
      <c r="W1015" s="32">
        <f>+R1015*'Componentes T.H.'!$Q$9*'Parametros Generales'!$C$6</f>
        <v>10037014.142000001</v>
      </c>
      <c r="X1015" s="32">
        <f>(+VLOOKUP(C1015,'Transporte y Viaticos'!$B$87:$L$120,2,0)*'Parametros Generales'!$C$7*R1015)*(2/3)</f>
        <v>765132.47196456906</v>
      </c>
      <c r="Y1015" s="417"/>
      <c r="Z1015" s="417"/>
      <c r="AA1015" s="417"/>
      <c r="AB1015" s="417">
        <f>+M1015*'Parametros Generales'!$C$6*'Parametros Generales'!$J$9</f>
        <v>3895272.7272727285</v>
      </c>
      <c r="AC1015" s="417">
        <f>+H1015*'Parametros Generales'!$J$10*'Parametros Generales'!$C$6*'Parametros Generales'!$C$11</f>
        <v>14738498.767401624</v>
      </c>
      <c r="AD1015" s="417"/>
      <c r="AE1015" s="417"/>
      <c r="AF1015" s="417"/>
      <c r="AG1015" s="417"/>
      <c r="AH1015" s="417"/>
      <c r="AI1015" s="417"/>
      <c r="AJ1015" s="417"/>
      <c r="AK1015" s="436"/>
      <c r="AL1015" s="822"/>
    </row>
    <row r="1016" spans="1:38" s="33" customFormat="1" hidden="1" outlineLevel="1">
      <c r="A1016" s="1150"/>
      <c r="B1016" s="821">
        <v>73</v>
      </c>
      <c r="C1016" s="371" t="s">
        <v>631</v>
      </c>
      <c r="D1016" s="31">
        <f>+VLOOKUP(E1016,Codigos!$A$1:$B$1123,2,0)</f>
        <v>73624</v>
      </c>
      <c r="E1016" s="1111" t="s">
        <v>2229</v>
      </c>
      <c r="F1016" s="1103">
        <v>1</v>
      </c>
      <c r="G1016" s="30">
        <v>198</v>
      </c>
      <c r="H1016" s="1061">
        <f>CEILING(G1016,'Parametros Generales'!$C$8)</f>
        <v>200</v>
      </c>
      <c r="I1016" s="1057" t="s">
        <v>654</v>
      </c>
      <c r="J1016" s="1058">
        <v>200</v>
      </c>
      <c r="K1016" s="1070" t="str">
        <f t="shared" si="78"/>
        <v>Ok</v>
      </c>
      <c r="L1016" s="1077">
        <f t="shared" si="79"/>
        <v>0</v>
      </c>
      <c r="M1016" s="1090">
        <f>+H1016/'Parametros Generales'!$C$8</f>
        <v>8</v>
      </c>
      <c r="N1016" s="1097"/>
      <c r="O1016" s="1097"/>
      <c r="P1016" s="1097"/>
      <c r="Q1016" s="1097"/>
      <c r="R1016" s="1097">
        <f>+(M1016/'Parametros Generales'!$C$9)</f>
        <v>2</v>
      </c>
      <c r="S1016" s="390"/>
      <c r="T1016" s="390"/>
      <c r="U1016" s="390"/>
      <c r="V1016" s="389"/>
      <c r="W1016" s="32">
        <f>+R1016*'Componentes T.H.'!$Q$9*'Parametros Generales'!$C$6</f>
        <v>10037014.142000001</v>
      </c>
      <c r="X1016" s="32">
        <f>(+VLOOKUP(C1016,'Transporte y Viaticos'!$B$87:$L$120,2,0)*'Parametros Generales'!$C$7*R1016)*(2/3)</f>
        <v>765132.47196456906</v>
      </c>
      <c r="Y1016" s="417"/>
      <c r="Z1016" s="417"/>
      <c r="AA1016" s="417"/>
      <c r="AB1016" s="417">
        <f>+M1016*'Parametros Generales'!$C$6*'Parametros Generales'!$J$9</f>
        <v>3895272.7272727285</v>
      </c>
      <c r="AC1016" s="417">
        <f>+H1016*'Parametros Generales'!$J$10*'Parametros Generales'!$C$6*'Parametros Generales'!$C$11</f>
        <v>14738498.767401624</v>
      </c>
      <c r="AD1016" s="417"/>
      <c r="AE1016" s="417"/>
      <c r="AF1016" s="417"/>
      <c r="AG1016" s="417"/>
      <c r="AH1016" s="417"/>
      <c r="AI1016" s="417"/>
      <c r="AJ1016" s="417"/>
      <c r="AK1016" s="436"/>
      <c r="AL1016" s="822"/>
    </row>
    <row r="1017" spans="1:38" s="33" customFormat="1" hidden="1" outlineLevel="1">
      <c r="A1017" s="1150"/>
      <c r="B1017" s="821">
        <v>73</v>
      </c>
      <c r="C1017" s="371" t="s">
        <v>631</v>
      </c>
      <c r="D1017" s="31">
        <f>+VLOOKUP(E1017,Codigos!$A$1:$B$1123,2,0)</f>
        <v>73671</v>
      </c>
      <c r="E1017" s="1111" t="s">
        <v>2230</v>
      </c>
      <c r="F1017" s="1103">
        <v>1</v>
      </c>
      <c r="G1017" s="30">
        <v>198</v>
      </c>
      <c r="H1017" s="1061">
        <f>CEILING(G1017,'Parametros Generales'!$C$8)</f>
        <v>200</v>
      </c>
      <c r="I1017" s="1057" t="s">
        <v>655</v>
      </c>
      <c r="J1017" s="1058">
        <v>200</v>
      </c>
      <c r="K1017" s="1070" t="str">
        <f t="shared" si="78"/>
        <v>Ok</v>
      </c>
      <c r="L1017" s="1077">
        <f t="shared" si="79"/>
        <v>0</v>
      </c>
      <c r="M1017" s="1090">
        <f>+H1017/'Parametros Generales'!$C$8</f>
        <v>8</v>
      </c>
      <c r="N1017" s="1097"/>
      <c r="O1017" s="1097"/>
      <c r="P1017" s="1097"/>
      <c r="Q1017" s="1097"/>
      <c r="R1017" s="1097">
        <f>+(M1017/'Parametros Generales'!$C$9)</f>
        <v>2</v>
      </c>
      <c r="S1017" s="390"/>
      <c r="T1017" s="390"/>
      <c r="U1017" s="390"/>
      <c r="V1017" s="389"/>
      <c r="W1017" s="32">
        <f>+R1017*'Componentes T.H.'!$Q$9*'Parametros Generales'!$C$6</f>
        <v>10037014.142000001</v>
      </c>
      <c r="X1017" s="32">
        <f>(+VLOOKUP(C1017,'Transporte y Viaticos'!$B$87:$L$120,2,0)*'Parametros Generales'!$C$7*R1017)*(2/3)</f>
        <v>765132.47196456906</v>
      </c>
      <c r="Y1017" s="417"/>
      <c r="Z1017" s="417"/>
      <c r="AA1017" s="417"/>
      <c r="AB1017" s="417">
        <f>+M1017*'Parametros Generales'!$C$6*'Parametros Generales'!$J$9</f>
        <v>3895272.7272727285</v>
      </c>
      <c r="AC1017" s="417">
        <f>+H1017*'Parametros Generales'!$J$10*'Parametros Generales'!$C$6*'Parametros Generales'!$C$11</f>
        <v>14738498.767401624</v>
      </c>
      <c r="AD1017" s="417"/>
      <c r="AE1017" s="417"/>
      <c r="AF1017" s="417"/>
      <c r="AG1017" s="417"/>
      <c r="AH1017" s="417"/>
      <c r="AI1017" s="417"/>
      <c r="AJ1017" s="417"/>
      <c r="AK1017" s="436"/>
      <c r="AL1017" s="822"/>
    </row>
    <row r="1018" spans="1:38" s="33" customFormat="1" hidden="1" outlineLevel="1">
      <c r="A1018" s="1150"/>
      <c r="B1018" s="823">
        <v>73</v>
      </c>
      <c r="C1018" s="373" t="s">
        <v>631</v>
      </c>
      <c r="D1018" s="374">
        <f>+VLOOKUP(E1018,Codigos!$A$1:$B$1123,2,0)</f>
        <v>73675</v>
      </c>
      <c r="E1018" s="1113" t="s">
        <v>2231</v>
      </c>
      <c r="F1018" s="1104">
        <v>1</v>
      </c>
      <c r="G1018" s="375">
        <v>198</v>
      </c>
      <c r="H1018" s="1062">
        <f>CEILING(G1018,'Parametros Generales'!$C$8)</f>
        <v>200</v>
      </c>
      <c r="I1018" s="1057" t="s">
        <v>656</v>
      </c>
      <c r="J1018" s="1058">
        <v>200</v>
      </c>
      <c r="K1018" s="1070" t="str">
        <f t="shared" si="78"/>
        <v>Ok</v>
      </c>
      <c r="L1018" s="1077">
        <f t="shared" si="79"/>
        <v>0</v>
      </c>
      <c r="M1018" s="1091">
        <f>+H1018/'Parametros Generales'!$C$8</f>
        <v>8</v>
      </c>
      <c r="N1018" s="1098"/>
      <c r="O1018" s="1098"/>
      <c r="P1018" s="1098"/>
      <c r="Q1018" s="1098"/>
      <c r="R1018" s="1098">
        <f>+(M1018/'Parametros Generales'!$C$9)</f>
        <v>2</v>
      </c>
      <c r="S1018" s="395"/>
      <c r="T1018" s="395"/>
      <c r="U1018" s="395"/>
      <c r="V1018" s="396"/>
      <c r="W1018" s="376">
        <f>+R1018*'Componentes T.H.'!$Q$9*'Parametros Generales'!$C$6</f>
        <v>10037014.142000001</v>
      </c>
      <c r="X1018" s="376">
        <f>(+VLOOKUP(C1018,'Transporte y Viaticos'!$B$87:$L$120,2,0)*'Parametros Generales'!$C$7*R1018)*(2/3)</f>
        <v>765132.47196456906</v>
      </c>
      <c r="Y1018" s="417"/>
      <c r="Z1018" s="417"/>
      <c r="AA1018" s="417"/>
      <c r="AB1018" s="417">
        <f>+M1018*'Parametros Generales'!$C$6*'Parametros Generales'!$J$9</f>
        <v>3895272.7272727285</v>
      </c>
      <c r="AC1018" s="417">
        <f>+H1018*'Parametros Generales'!$J$10*'Parametros Generales'!$C$6*'Parametros Generales'!$C$11</f>
        <v>14738498.767401624</v>
      </c>
      <c r="AD1018" s="417"/>
      <c r="AE1018" s="417"/>
      <c r="AF1018" s="417"/>
      <c r="AG1018" s="417"/>
      <c r="AH1018" s="417"/>
      <c r="AI1018" s="417"/>
      <c r="AJ1018" s="417"/>
      <c r="AK1018" s="436"/>
      <c r="AL1018" s="822"/>
    </row>
    <row r="1019" spans="1:38" s="33" customFormat="1" hidden="1" outlineLevel="1">
      <c r="A1019" s="1150"/>
      <c r="B1019" s="823">
        <f t="shared" ref="B1019:B1037" si="82">+B1018</f>
        <v>73</v>
      </c>
      <c r="C1019" s="373" t="str">
        <f t="shared" ref="C1019:C1037" si="83">+C1018</f>
        <v>TOLIMA</v>
      </c>
      <c r="D1019" s="374"/>
      <c r="E1019" s="1113"/>
      <c r="F1019" s="1104"/>
      <c r="G1019" s="375"/>
      <c r="H1019" s="1062"/>
      <c r="I1019" s="1057"/>
      <c r="J1019" s="1058"/>
      <c r="K1019" s="1070" t="str">
        <f t="shared" si="78"/>
        <v>Ok</v>
      </c>
      <c r="L1019" s="1077">
        <f t="shared" si="79"/>
        <v>0</v>
      </c>
      <c r="M1019" s="1091">
        <f>+H1019/'Parametros Generales'!$C$8</f>
        <v>0</v>
      </c>
      <c r="N1019" s="1098"/>
      <c r="O1019" s="1098"/>
      <c r="P1019" s="1098"/>
      <c r="Q1019" s="1098"/>
      <c r="R1019" s="1098">
        <f>+(M1019/'Parametros Generales'!$C$9)</f>
        <v>0</v>
      </c>
      <c r="S1019" s="395"/>
      <c r="T1019" s="395"/>
      <c r="U1019" s="395"/>
      <c r="V1019" s="396"/>
      <c r="W1019" s="376">
        <f>+R1019*'Componentes T.H.'!$Q$9*'Parametros Generales'!$C$6</f>
        <v>0</v>
      </c>
      <c r="X1019" s="376">
        <f>(+VLOOKUP(C1019,'Transporte y Viaticos'!$B$87:$L$120,2,0)*'Parametros Generales'!$C$7*R1019)*(2/3)</f>
        <v>0</v>
      </c>
      <c r="Y1019" s="417"/>
      <c r="Z1019" s="417"/>
      <c r="AA1019" s="417"/>
      <c r="AB1019" s="417">
        <f>+M1019*'Parametros Generales'!$C$6*'Parametros Generales'!$J$9</f>
        <v>0</v>
      </c>
      <c r="AC1019" s="417">
        <f>+H1019*'Parametros Generales'!$J$10*'Parametros Generales'!$C$6*'Parametros Generales'!$C$11</f>
        <v>0</v>
      </c>
      <c r="AD1019" s="417"/>
      <c r="AE1019" s="417"/>
      <c r="AF1019" s="417"/>
      <c r="AG1019" s="417"/>
      <c r="AH1019" s="417"/>
      <c r="AI1019" s="417"/>
      <c r="AJ1019" s="417"/>
      <c r="AK1019" s="436"/>
      <c r="AL1019" s="822"/>
    </row>
    <row r="1020" spans="1:38" s="33" customFormat="1" hidden="1" outlineLevel="1">
      <c r="A1020" s="1150"/>
      <c r="B1020" s="823">
        <f t="shared" si="82"/>
        <v>73</v>
      </c>
      <c r="C1020" s="373" t="str">
        <f t="shared" si="83"/>
        <v>TOLIMA</v>
      </c>
      <c r="D1020" s="374"/>
      <c r="E1020" s="1113"/>
      <c r="F1020" s="1104"/>
      <c r="G1020" s="375"/>
      <c r="H1020" s="1062"/>
      <c r="I1020" s="1057"/>
      <c r="J1020" s="1058"/>
      <c r="K1020" s="1070" t="str">
        <f t="shared" si="78"/>
        <v>Ok</v>
      </c>
      <c r="L1020" s="1077">
        <f t="shared" si="79"/>
        <v>0</v>
      </c>
      <c r="M1020" s="1091">
        <f>+H1020/'Parametros Generales'!$C$8</f>
        <v>0</v>
      </c>
      <c r="N1020" s="1098"/>
      <c r="O1020" s="1098"/>
      <c r="P1020" s="1098"/>
      <c r="Q1020" s="1098"/>
      <c r="R1020" s="1098">
        <f>+(M1020/'Parametros Generales'!$C$9)</f>
        <v>0</v>
      </c>
      <c r="S1020" s="395"/>
      <c r="T1020" s="395"/>
      <c r="U1020" s="395"/>
      <c r="V1020" s="396"/>
      <c r="W1020" s="376">
        <f>+R1020*'Componentes T.H.'!$Q$9*'Parametros Generales'!$C$6</f>
        <v>0</v>
      </c>
      <c r="X1020" s="376">
        <f>(+VLOOKUP(C1020,'Transporte y Viaticos'!$B$87:$L$120,2,0)*'Parametros Generales'!$C$7*R1020)*(2/3)</f>
        <v>0</v>
      </c>
      <c r="Y1020" s="417"/>
      <c r="Z1020" s="417"/>
      <c r="AA1020" s="417"/>
      <c r="AB1020" s="417">
        <f>+M1020*'Parametros Generales'!$C$6*'Parametros Generales'!$J$9</f>
        <v>0</v>
      </c>
      <c r="AC1020" s="417">
        <f>+H1020*'Parametros Generales'!$J$10*'Parametros Generales'!$C$6*'Parametros Generales'!$C$11</f>
        <v>0</v>
      </c>
      <c r="AD1020" s="417"/>
      <c r="AE1020" s="417"/>
      <c r="AF1020" s="417"/>
      <c r="AG1020" s="417"/>
      <c r="AH1020" s="417"/>
      <c r="AI1020" s="417"/>
      <c r="AJ1020" s="417"/>
      <c r="AK1020" s="436"/>
      <c r="AL1020" s="822"/>
    </row>
    <row r="1021" spans="1:38" s="33" customFormat="1" hidden="1" outlineLevel="1">
      <c r="A1021" s="1150"/>
      <c r="B1021" s="823">
        <f t="shared" si="82"/>
        <v>73</v>
      </c>
      <c r="C1021" s="373" t="str">
        <f t="shared" si="83"/>
        <v>TOLIMA</v>
      </c>
      <c r="D1021" s="374"/>
      <c r="E1021" s="1113"/>
      <c r="F1021" s="1104"/>
      <c r="G1021" s="375"/>
      <c r="H1021" s="1062"/>
      <c r="I1021" s="1057"/>
      <c r="J1021" s="1058"/>
      <c r="K1021" s="1070" t="str">
        <f t="shared" si="78"/>
        <v>Ok</v>
      </c>
      <c r="L1021" s="1077">
        <f t="shared" si="79"/>
        <v>0</v>
      </c>
      <c r="M1021" s="1091">
        <f>+H1021/'Parametros Generales'!$C$8</f>
        <v>0</v>
      </c>
      <c r="N1021" s="1098"/>
      <c r="O1021" s="1098"/>
      <c r="P1021" s="1098"/>
      <c r="Q1021" s="1098"/>
      <c r="R1021" s="1098">
        <f>+(M1021/'Parametros Generales'!$C$9)</f>
        <v>0</v>
      </c>
      <c r="S1021" s="395"/>
      <c r="T1021" s="395"/>
      <c r="U1021" s="395"/>
      <c r="V1021" s="396"/>
      <c r="W1021" s="376">
        <f>+R1021*'Componentes T.H.'!$Q$9*'Parametros Generales'!$C$6</f>
        <v>0</v>
      </c>
      <c r="X1021" s="376">
        <f>(+VLOOKUP(C1021,'Transporte y Viaticos'!$B$87:$L$120,2,0)*'Parametros Generales'!$C$7*R1021)*(2/3)</f>
        <v>0</v>
      </c>
      <c r="Y1021" s="417"/>
      <c r="Z1021" s="417"/>
      <c r="AA1021" s="417"/>
      <c r="AB1021" s="417">
        <f>+M1021*'Parametros Generales'!$C$6*'Parametros Generales'!$J$9</f>
        <v>0</v>
      </c>
      <c r="AC1021" s="417">
        <f>+H1021*'Parametros Generales'!$J$10*'Parametros Generales'!$C$6*'Parametros Generales'!$C$11</f>
        <v>0</v>
      </c>
      <c r="AD1021" s="417"/>
      <c r="AE1021" s="417"/>
      <c r="AF1021" s="417"/>
      <c r="AG1021" s="417"/>
      <c r="AH1021" s="417"/>
      <c r="AI1021" s="417"/>
      <c r="AJ1021" s="417"/>
      <c r="AK1021" s="436"/>
      <c r="AL1021" s="822"/>
    </row>
    <row r="1022" spans="1:38" s="33" customFormat="1" hidden="1" outlineLevel="1">
      <c r="A1022" s="1150"/>
      <c r="B1022" s="823">
        <f t="shared" si="82"/>
        <v>73</v>
      </c>
      <c r="C1022" s="373" t="str">
        <f t="shared" si="83"/>
        <v>TOLIMA</v>
      </c>
      <c r="D1022" s="374"/>
      <c r="E1022" s="1113"/>
      <c r="F1022" s="1104"/>
      <c r="G1022" s="375"/>
      <c r="H1022" s="1062"/>
      <c r="I1022" s="1057"/>
      <c r="J1022" s="1058"/>
      <c r="K1022" s="1070" t="str">
        <f t="shared" si="78"/>
        <v>Ok</v>
      </c>
      <c r="L1022" s="1077">
        <f t="shared" si="79"/>
        <v>0</v>
      </c>
      <c r="M1022" s="1091">
        <f>+H1022/'Parametros Generales'!$C$8</f>
        <v>0</v>
      </c>
      <c r="N1022" s="1098"/>
      <c r="O1022" s="1098"/>
      <c r="P1022" s="1098"/>
      <c r="Q1022" s="1098"/>
      <c r="R1022" s="1098">
        <f>+(M1022/'Parametros Generales'!$C$9)</f>
        <v>0</v>
      </c>
      <c r="S1022" s="395"/>
      <c r="T1022" s="395"/>
      <c r="U1022" s="395"/>
      <c r="V1022" s="396"/>
      <c r="W1022" s="376">
        <f>+R1022*'Componentes T.H.'!$Q$9*'Parametros Generales'!$C$6</f>
        <v>0</v>
      </c>
      <c r="X1022" s="376">
        <f>(+VLOOKUP(C1022,'Transporte y Viaticos'!$B$87:$L$120,2,0)*'Parametros Generales'!$C$7*R1022)*(2/3)</f>
        <v>0</v>
      </c>
      <c r="Y1022" s="417"/>
      <c r="Z1022" s="417"/>
      <c r="AA1022" s="417"/>
      <c r="AB1022" s="417">
        <f>+M1022*'Parametros Generales'!$C$6*'Parametros Generales'!$J$9</f>
        <v>0</v>
      </c>
      <c r="AC1022" s="417">
        <f>+H1022*'Parametros Generales'!$J$10*'Parametros Generales'!$C$6*'Parametros Generales'!$C$11</f>
        <v>0</v>
      </c>
      <c r="AD1022" s="417"/>
      <c r="AE1022" s="417"/>
      <c r="AF1022" s="417"/>
      <c r="AG1022" s="417"/>
      <c r="AH1022" s="417"/>
      <c r="AI1022" s="417"/>
      <c r="AJ1022" s="417"/>
      <c r="AK1022" s="436"/>
      <c r="AL1022" s="822"/>
    </row>
    <row r="1023" spans="1:38" s="33" customFormat="1" hidden="1" outlineLevel="1">
      <c r="A1023" s="1150"/>
      <c r="B1023" s="823">
        <f t="shared" si="82"/>
        <v>73</v>
      </c>
      <c r="C1023" s="373" t="str">
        <f t="shared" si="83"/>
        <v>TOLIMA</v>
      </c>
      <c r="D1023" s="374"/>
      <c r="E1023" s="1113"/>
      <c r="F1023" s="1104"/>
      <c r="G1023" s="375"/>
      <c r="H1023" s="1062"/>
      <c r="I1023" s="1057"/>
      <c r="J1023" s="1058"/>
      <c r="K1023" s="1070" t="str">
        <f t="shared" si="78"/>
        <v>Ok</v>
      </c>
      <c r="L1023" s="1077">
        <f t="shared" si="79"/>
        <v>0</v>
      </c>
      <c r="M1023" s="1091">
        <f>+H1023/'Parametros Generales'!$C$8</f>
        <v>0</v>
      </c>
      <c r="N1023" s="1098"/>
      <c r="O1023" s="1098"/>
      <c r="P1023" s="1098"/>
      <c r="Q1023" s="1098"/>
      <c r="R1023" s="1098">
        <f>+(M1023/'Parametros Generales'!$C$9)</f>
        <v>0</v>
      </c>
      <c r="S1023" s="395"/>
      <c r="T1023" s="395"/>
      <c r="U1023" s="395"/>
      <c r="V1023" s="396"/>
      <c r="W1023" s="376">
        <f>+R1023*'Componentes T.H.'!$Q$9*'Parametros Generales'!$C$6</f>
        <v>0</v>
      </c>
      <c r="X1023" s="376">
        <f>(+VLOOKUP(C1023,'Transporte y Viaticos'!$B$87:$L$120,2,0)*'Parametros Generales'!$C$7*R1023)*(2/3)</f>
        <v>0</v>
      </c>
      <c r="Y1023" s="417"/>
      <c r="Z1023" s="417"/>
      <c r="AA1023" s="417"/>
      <c r="AB1023" s="417">
        <f>+M1023*'Parametros Generales'!$C$6*'Parametros Generales'!$J$9</f>
        <v>0</v>
      </c>
      <c r="AC1023" s="417">
        <f>+H1023*'Parametros Generales'!$J$10*'Parametros Generales'!$C$6*'Parametros Generales'!$C$11</f>
        <v>0</v>
      </c>
      <c r="AD1023" s="417"/>
      <c r="AE1023" s="417"/>
      <c r="AF1023" s="417"/>
      <c r="AG1023" s="417"/>
      <c r="AH1023" s="417"/>
      <c r="AI1023" s="417"/>
      <c r="AJ1023" s="417"/>
      <c r="AK1023" s="436"/>
      <c r="AL1023" s="822"/>
    </row>
    <row r="1024" spans="1:38" s="33" customFormat="1" hidden="1" outlineLevel="1">
      <c r="A1024" s="1150"/>
      <c r="B1024" s="823">
        <f t="shared" si="82"/>
        <v>73</v>
      </c>
      <c r="C1024" s="373" t="str">
        <f t="shared" si="83"/>
        <v>TOLIMA</v>
      </c>
      <c r="D1024" s="374"/>
      <c r="E1024" s="1113"/>
      <c r="F1024" s="1104"/>
      <c r="G1024" s="375"/>
      <c r="H1024" s="1062"/>
      <c r="I1024" s="1057"/>
      <c r="J1024" s="1058"/>
      <c r="K1024" s="1070" t="str">
        <f t="shared" si="78"/>
        <v>Ok</v>
      </c>
      <c r="L1024" s="1077">
        <f t="shared" si="79"/>
        <v>0</v>
      </c>
      <c r="M1024" s="1091">
        <f>+H1024/'Parametros Generales'!$C$8</f>
        <v>0</v>
      </c>
      <c r="N1024" s="1098"/>
      <c r="O1024" s="1098"/>
      <c r="P1024" s="1098"/>
      <c r="Q1024" s="1098"/>
      <c r="R1024" s="1098">
        <f>+(M1024/'Parametros Generales'!$C$9)</f>
        <v>0</v>
      </c>
      <c r="S1024" s="395"/>
      <c r="T1024" s="395"/>
      <c r="U1024" s="395"/>
      <c r="V1024" s="396"/>
      <c r="W1024" s="376">
        <f>+R1024*'Componentes T.H.'!$Q$9*'Parametros Generales'!$C$6</f>
        <v>0</v>
      </c>
      <c r="X1024" s="376">
        <f>(+VLOOKUP(C1024,'Transporte y Viaticos'!$B$87:$L$120,2,0)*'Parametros Generales'!$C$7*R1024)*(2/3)</f>
        <v>0</v>
      </c>
      <c r="Y1024" s="417"/>
      <c r="Z1024" s="417"/>
      <c r="AA1024" s="417"/>
      <c r="AB1024" s="417">
        <f>+M1024*'Parametros Generales'!$C$6*'Parametros Generales'!$J$9</f>
        <v>0</v>
      </c>
      <c r="AC1024" s="417">
        <f>+H1024*'Parametros Generales'!$J$10*'Parametros Generales'!$C$6*'Parametros Generales'!$C$11</f>
        <v>0</v>
      </c>
      <c r="AD1024" s="417"/>
      <c r="AE1024" s="417"/>
      <c r="AF1024" s="417"/>
      <c r="AG1024" s="417"/>
      <c r="AH1024" s="417"/>
      <c r="AI1024" s="417"/>
      <c r="AJ1024" s="417"/>
      <c r="AK1024" s="436"/>
      <c r="AL1024" s="822"/>
    </row>
    <row r="1025" spans="1:38" s="33" customFormat="1" hidden="1" outlineLevel="1">
      <c r="A1025" s="1150"/>
      <c r="B1025" s="823">
        <f t="shared" si="82"/>
        <v>73</v>
      </c>
      <c r="C1025" s="373" t="str">
        <f t="shared" si="83"/>
        <v>TOLIMA</v>
      </c>
      <c r="D1025" s="374"/>
      <c r="E1025" s="1113"/>
      <c r="F1025" s="1104"/>
      <c r="G1025" s="375"/>
      <c r="H1025" s="1062"/>
      <c r="I1025" s="1057"/>
      <c r="J1025" s="1058"/>
      <c r="K1025" s="1070" t="str">
        <f t="shared" si="78"/>
        <v>Ok</v>
      </c>
      <c r="L1025" s="1077">
        <f t="shared" si="79"/>
        <v>0</v>
      </c>
      <c r="M1025" s="1091">
        <f>+H1025/'Parametros Generales'!$C$8</f>
        <v>0</v>
      </c>
      <c r="N1025" s="1098"/>
      <c r="O1025" s="1098"/>
      <c r="P1025" s="1098"/>
      <c r="Q1025" s="1098"/>
      <c r="R1025" s="1098">
        <f>+(M1025/'Parametros Generales'!$C$9)</f>
        <v>0</v>
      </c>
      <c r="S1025" s="395"/>
      <c r="T1025" s="395"/>
      <c r="U1025" s="395"/>
      <c r="V1025" s="396"/>
      <c r="W1025" s="376">
        <f>+R1025*'Componentes T.H.'!$Q$9*'Parametros Generales'!$C$6</f>
        <v>0</v>
      </c>
      <c r="X1025" s="376">
        <f>(+VLOOKUP(C1025,'Transporte y Viaticos'!$B$87:$L$120,2,0)*'Parametros Generales'!$C$7*R1025)*(2/3)</f>
        <v>0</v>
      </c>
      <c r="Y1025" s="417"/>
      <c r="Z1025" s="417"/>
      <c r="AA1025" s="417"/>
      <c r="AB1025" s="417">
        <f>+M1025*'Parametros Generales'!$C$6*'Parametros Generales'!$J$9</f>
        <v>0</v>
      </c>
      <c r="AC1025" s="417">
        <f>+H1025*'Parametros Generales'!$J$10*'Parametros Generales'!$C$6*'Parametros Generales'!$C$11</f>
        <v>0</v>
      </c>
      <c r="AD1025" s="417"/>
      <c r="AE1025" s="417"/>
      <c r="AF1025" s="417"/>
      <c r="AG1025" s="417"/>
      <c r="AH1025" s="417"/>
      <c r="AI1025" s="417"/>
      <c r="AJ1025" s="417"/>
      <c r="AK1025" s="436"/>
      <c r="AL1025" s="822"/>
    </row>
    <row r="1026" spans="1:38" s="33" customFormat="1" hidden="1" outlineLevel="1">
      <c r="A1026" s="1150"/>
      <c r="B1026" s="823">
        <f t="shared" si="82"/>
        <v>73</v>
      </c>
      <c r="C1026" s="373" t="str">
        <f t="shared" si="83"/>
        <v>TOLIMA</v>
      </c>
      <c r="D1026" s="374"/>
      <c r="E1026" s="1113"/>
      <c r="F1026" s="1104"/>
      <c r="G1026" s="375"/>
      <c r="H1026" s="1062"/>
      <c r="I1026" s="1057"/>
      <c r="J1026" s="1058"/>
      <c r="K1026" s="1070" t="str">
        <f t="shared" si="78"/>
        <v>Ok</v>
      </c>
      <c r="L1026" s="1077">
        <f t="shared" si="79"/>
        <v>0</v>
      </c>
      <c r="M1026" s="1091">
        <f>+H1026/'Parametros Generales'!$C$8</f>
        <v>0</v>
      </c>
      <c r="N1026" s="1098"/>
      <c r="O1026" s="1098"/>
      <c r="P1026" s="1098"/>
      <c r="Q1026" s="1098"/>
      <c r="R1026" s="1098">
        <f>+(M1026/'Parametros Generales'!$C$9)</f>
        <v>0</v>
      </c>
      <c r="S1026" s="395"/>
      <c r="T1026" s="395"/>
      <c r="U1026" s="395"/>
      <c r="V1026" s="396"/>
      <c r="W1026" s="376">
        <f>+R1026*'Componentes T.H.'!$Q$9*'Parametros Generales'!$C$6</f>
        <v>0</v>
      </c>
      <c r="X1026" s="376">
        <f>(+VLOOKUP(C1026,'Transporte y Viaticos'!$B$87:$L$120,2,0)*'Parametros Generales'!$C$7*R1026)*(2/3)</f>
        <v>0</v>
      </c>
      <c r="Y1026" s="417"/>
      <c r="Z1026" s="417"/>
      <c r="AA1026" s="417"/>
      <c r="AB1026" s="417">
        <f>+M1026*'Parametros Generales'!$C$6*'Parametros Generales'!$J$9</f>
        <v>0</v>
      </c>
      <c r="AC1026" s="417">
        <f>+H1026*'Parametros Generales'!$J$10*'Parametros Generales'!$C$6*'Parametros Generales'!$C$11</f>
        <v>0</v>
      </c>
      <c r="AD1026" s="417"/>
      <c r="AE1026" s="417"/>
      <c r="AF1026" s="417"/>
      <c r="AG1026" s="417"/>
      <c r="AH1026" s="417"/>
      <c r="AI1026" s="417"/>
      <c r="AJ1026" s="417"/>
      <c r="AK1026" s="436"/>
      <c r="AL1026" s="822"/>
    </row>
    <row r="1027" spans="1:38" s="33" customFormat="1" hidden="1" outlineLevel="1">
      <c r="A1027" s="1150"/>
      <c r="B1027" s="823">
        <f t="shared" si="82"/>
        <v>73</v>
      </c>
      <c r="C1027" s="373" t="str">
        <f t="shared" si="83"/>
        <v>TOLIMA</v>
      </c>
      <c r="D1027" s="374"/>
      <c r="E1027" s="1113"/>
      <c r="F1027" s="1104"/>
      <c r="G1027" s="375"/>
      <c r="H1027" s="1062"/>
      <c r="I1027" s="1057"/>
      <c r="J1027" s="1058"/>
      <c r="K1027" s="1070" t="str">
        <f t="shared" ref="K1027:K1090" si="84">+IF(I1027=E1027,"Ok","Rev")</f>
        <v>Ok</v>
      </c>
      <c r="L1027" s="1077">
        <f t="shared" ref="L1027:L1090" si="85">+J1027-H1027</f>
        <v>0</v>
      </c>
      <c r="M1027" s="1091">
        <f>+H1027/'Parametros Generales'!$C$8</f>
        <v>0</v>
      </c>
      <c r="N1027" s="1098"/>
      <c r="O1027" s="1098"/>
      <c r="P1027" s="1098"/>
      <c r="Q1027" s="1098"/>
      <c r="R1027" s="1098">
        <f>+(M1027/'Parametros Generales'!$C$9)</f>
        <v>0</v>
      </c>
      <c r="S1027" s="395"/>
      <c r="T1027" s="395"/>
      <c r="U1027" s="395"/>
      <c r="V1027" s="396"/>
      <c r="W1027" s="376">
        <f>+R1027*'Componentes T.H.'!$Q$9*'Parametros Generales'!$C$6</f>
        <v>0</v>
      </c>
      <c r="X1027" s="376">
        <f>(+VLOOKUP(C1027,'Transporte y Viaticos'!$B$87:$L$120,2,0)*'Parametros Generales'!$C$7*R1027)*(2/3)</f>
        <v>0</v>
      </c>
      <c r="Y1027" s="417"/>
      <c r="Z1027" s="417"/>
      <c r="AA1027" s="417"/>
      <c r="AB1027" s="417">
        <f>+M1027*'Parametros Generales'!$C$6*'Parametros Generales'!$J$9</f>
        <v>0</v>
      </c>
      <c r="AC1027" s="417">
        <f>+H1027*'Parametros Generales'!$J$10*'Parametros Generales'!$C$6*'Parametros Generales'!$C$11</f>
        <v>0</v>
      </c>
      <c r="AD1027" s="417"/>
      <c r="AE1027" s="417"/>
      <c r="AF1027" s="417"/>
      <c r="AG1027" s="417"/>
      <c r="AH1027" s="417"/>
      <c r="AI1027" s="417"/>
      <c r="AJ1027" s="417"/>
      <c r="AK1027" s="436"/>
      <c r="AL1027" s="822"/>
    </row>
    <row r="1028" spans="1:38" s="33" customFormat="1" hidden="1" outlineLevel="1">
      <c r="A1028" s="1150"/>
      <c r="B1028" s="823">
        <f t="shared" si="82"/>
        <v>73</v>
      </c>
      <c r="C1028" s="373" t="str">
        <f t="shared" si="83"/>
        <v>TOLIMA</v>
      </c>
      <c r="D1028" s="374"/>
      <c r="E1028" s="1113"/>
      <c r="F1028" s="1104"/>
      <c r="G1028" s="375"/>
      <c r="H1028" s="1062"/>
      <c r="I1028" s="1057"/>
      <c r="J1028" s="1058"/>
      <c r="K1028" s="1070" t="str">
        <f t="shared" si="84"/>
        <v>Ok</v>
      </c>
      <c r="L1028" s="1077">
        <f t="shared" si="85"/>
        <v>0</v>
      </c>
      <c r="M1028" s="1091">
        <f>+H1028/'Parametros Generales'!$C$8</f>
        <v>0</v>
      </c>
      <c r="N1028" s="1098"/>
      <c r="O1028" s="1098"/>
      <c r="P1028" s="1098"/>
      <c r="Q1028" s="1098"/>
      <c r="R1028" s="1098">
        <f>+(M1028/'Parametros Generales'!$C$9)</f>
        <v>0</v>
      </c>
      <c r="S1028" s="395"/>
      <c r="T1028" s="395"/>
      <c r="U1028" s="395"/>
      <c r="V1028" s="396"/>
      <c r="W1028" s="376">
        <f>+R1028*'Componentes T.H.'!$Q$9*'Parametros Generales'!$C$6</f>
        <v>0</v>
      </c>
      <c r="X1028" s="376">
        <f>(+VLOOKUP(C1028,'Transporte y Viaticos'!$B$87:$L$120,2,0)*'Parametros Generales'!$C$7*R1028)*(2/3)</f>
        <v>0</v>
      </c>
      <c r="Y1028" s="417"/>
      <c r="Z1028" s="417"/>
      <c r="AA1028" s="417"/>
      <c r="AB1028" s="417">
        <f>+M1028*'Parametros Generales'!$C$6*'Parametros Generales'!$J$9</f>
        <v>0</v>
      </c>
      <c r="AC1028" s="417">
        <f>+H1028*'Parametros Generales'!$J$10*'Parametros Generales'!$C$6*'Parametros Generales'!$C$11</f>
        <v>0</v>
      </c>
      <c r="AD1028" s="417"/>
      <c r="AE1028" s="417"/>
      <c r="AF1028" s="417"/>
      <c r="AG1028" s="417"/>
      <c r="AH1028" s="417"/>
      <c r="AI1028" s="417"/>
      <c r="AJ1028" s="417"/>
      <c r="AK1028" s="436"/>
      <c r="AL1028" s="822"/>
    </row>
    <row r="1029" spans="1:38" s="33" customFormat="1" hidden="1" outlineLevel="1">
      <c r="A1029" s="1150"/>
      <c r="B1029" s="823">
        <f t="shared" si="82"/>
        <v>73</v>
      </c>
      <c r="C1029" s="373" t="str">
        <f t="shared" si="83"/>
        <v>TOLIMA</v>
      </c>
      <c r="D1029" s="374"/>
      <c r="E1029" s="1113"/>
      <c r="F1029" s="1104"/>
      <c r="G1029" s="375"/>
      <c r="H1029" s="1062"/>
      <c r="I1029" s="1057"/>
      <c r="J1029" s="1058"/>
      <c r="K1029" s="1070" t="str">
        <f t="shared" si="84"/>
        <v>Ok</v>
      </c>
      <c r="L1029" s="1077">
        <f t="shared" si="85"/>
        <v>0</v>
      </c>
      <c r="M1029" s="1091">
        <f>+H1029/'Parametros Generales'!$C$8</f>
        <v>0</v>
      </c>
      <c r="N1029" s="1098"/>
      <c r="O1029" s="1098"/>
      <c r="P1029" s="1098"/>
      <c r="Q1029" s="1098"/>
      <c r="R1029" s="1098">
        <f>+(M1029/'Parametros Generales'!$C$9)</f>
        <v>0</v>
      </c>
      <c r="S1029" s="395"/>
      <c r="T1029" s="395"/>
      <c r="U1029" s="395"/>
      <c r="V1029" s="396"/>
      <c r="W1029" s="376">
        <f>+R1029*'Componentes T.H.'!$Q$9*'Parametros Generales'!$C$6</f>
        <v>0</v>
      </c>
      <c r="X1029" s="376">
        <f>(+VLOOKUP(C1029,'Transporte y Viaticos'!$B$87:$L$120,2,0)*'Parametros Generales'!$C$7*R1029)*(2/3)</f>
        <v>0</v>
      </c>
      <c r="Y1029" s="417"/>
      <c r="Z1029" s="417"/>
      <c r="AA1029" s="417"/>
      <c r="AB1029" s="417">
        <f>+M1029*'Parametros Generales'!$C$6*'Parametros Generales'!$J$9</f>
        <v>0</v>
      </c>
      <c r="AC1029" s="417">
        <f>+H1029*'Parametros Generales'!$J$10*'Parametros Generales'!$C$6*'Parametros Generales'!$C$11</f>
        <v>0</v>
      </c>
      <c r="AD1029" s="417"/>
      <c r="AE1029" s="417"/>
      <c r="AF1029" s="417"/>
      <c r="AG1029" s="417"/>
      <c r="AH1029" s="417"/>
      <c r="AI1029" s="417"/>
      <c r="AJ1029" s="417"/>
      <c r="AK1029" s="436"/>
      <c r="AL1029" s="822"/>
    </row>
    <row r="1030" spans="1:38" s="33" customFormat="1" hidden="1" outlineLevel="1">
      <c r="A1030" s="1150"/>
      <c r="B1030" s="823">
        <f t="shared" si="82"/>
        <v>73</v>
      </c>
      <c r="C1030" s="373" t="str">
        <f t="shared" si="83"/>
        <v>TOLIMA</v>
      </c>
      <c r="D1030" s="374"/>
      <c r="E1030" s="1113"/>
      <c r="F1030" s="1104"/>
      <c r="G1030" s="375"/>
      <c r="H1030" s="1062"/>
      <c r="I1030" s="1057"/>
      <c r="J1030" s="1058"/>
      <c r="K1030" s="1070" t="str">
        <f t="shared" si="84"/>
        <v>Ok</v>
      </c>
      <c r="L1030" s="1077">
        <f t="shared" si="85"/>
        <v>0</v>
      </c>
      <c r="M1030" s="1091">
        <f>+H1030/'Parametros Generales'!$C$8</f>
        <v>0</v>
      </c>
      <c r="N1030" s="1098"/>
      <c r="O1030" s="1098"/>
      <c r="P1030" s="1098"/>
      <c r="Q1030" s="1098"/>
      <c r="R1030" s="1098">
        <f>+(M1030/'Parametros Generales'!$C$9)</f>
        <v>0</v>
      </c>
      <c r="S1030" s="395"/>
      <c r="T1030" s="395"/>
      <c r="U1030" s="395"/>
      <c r="V1030" s="396"/>
      <c r="W1030" s="376">
        <f>+R1030*'Componentes T.H.'!$Q$9*'Parametros Generales'!$C$6</f>
        <v>0</v>
      </c>
      <c r="X1030" s="376">
        <f>(+VLOOKUP(C1030,'Transporte y Viaticos'!$B$87:$L$120,2,0)*'Parametros Generales'!$C$7*R1030)*(2/3)</f>
        <v>0</v>
      </c>
      <c r="Y1030" s="417"/>
      <c r="Z1030" s="417"/>
      <c r="AA1030" s="417"/>
      <c r="AB1030" s="417">
        <f>+M1030*'Parametros Generales'!$C$6*'Parametros Generales'!$J$9</f>
        <v>0</v>
      </c>
      <c r="AC1030" s="417">
        <f>+H1030*'Parametros Generales'!$J$10*'Parametros Generales'!$C$6*'Parametros Generales'!$C$11</f>
        <v>0</v>
      </c>
      <c r="AD1030" s="417"/>
      <c r="AE1030" s="417"/>
      <c r="AF1030" s="417"/>
      <c r="AG1030" s="417"/>
      <c r="AH1030" s="417"/>
      <c r="AI1030" s="417"/>
      <c r="AJ1030" s="417"/>
      <c r="AK1030" s="436"/>
      <c r="AL1030" s="822"/>
    </row>
    <row r="1031" spans="1:38" s="33" customFormat="1" hidden="1" outlineLevel="1">
      <c r="A1031" s="1150"/>
      <c r="B1031" s="823">
        <f t="shared" si="82"/>
        <v>73</v>
      </c>
      <c r="C1031" s="373" t="str">
        <f t="shared" si="83"/>
        <v>TOLIMA</v>
      </c>
      <c r="D1031" s="374"/>
      <c r="E1031" s="1113"/>
      <c r="F1031" s="1104"/>
      <c r="G1031" s="375"/>
      <c r="H1031" s="1062"/>
      <c r="I1031" s="1057"/>
      <c r="J1031" s="1058"/>
      <c r="K1031" s="1070" t="str">
        <f t="shared" si="84"/>
        <v>Ok</v>
      </c>
      <c r="L1031" s="1077">
        <f t="shared" si="85"/>
        <v>0</v>
      </c>
      <c r="M1031" s="1091">
        <f>+H1031/'Parametros Generales'!$C$8</f>
        <v>0</v>
      </c>
      <c r="N1031" s="1098"/>
      <c r="O1031" s="1098"/>
      <c r="P1031" s="1098"/>
      <c r="Q1031" s="1098"/>
      <c r="R1031" s="1098">
        <f>+(M1031/'Parametros Generales'!$C$9)</f>
        <v>0</v>
      </c>
      <c r="S1031" s="395"/>
      <c r="T1031" s="395"/>
      <c r="U1031" s="395"/>
      <c r="V1031" s="396"/>
      <c r="W1031" s="376">
        <f>+R1031*'Componentes T.H.'!$Q$9*'Parametros Generales'!$C$6</f>
        <v>0</v>
      </c>
      <c r="X1031" s="376">
        <f>(+VLOOKUP(C1031,'Transporte y Viaticos'!$B$87:$L$120,2,0)*'Parametros Generales'!$C$7*R1031)*(2/3)</f>
        <v>0</v>
      </c>
      <c r="Y1031" s="417"/>
      <c r="Z1031" s="417"/>
      <c r="AA1031" s="417"/>
      <c r="AB1031" s="417">
        <f>+M1031*'Parametros Generales'!$C$6*'Parametros Generales'!$J$9</f>
        <v>0</v>
      </c>
      <c r="AC1031" s="417">
        <f>+H1031*'Parametros Generales'!$J$10*'Parametros Generales'!$C$6*'Parametros Generales'!$C$11</f>
        <v>0</v>
      </c>
      <c r="AD1031" s="417"/>
      <c r="AE1031" s="417"/>
      <c r="AF1031" s="417"/>
      <c r="AG1031" s="417"/>
      <c r="AH1031" s="417"/>
      <c r="AI1031" s="417"/>
      <c r="AJ1031" s="417"/>
      <c r="AK1031" s="436"/>
      <c r="AL1031" s="822"/>
    </row>
    <row r="1032" spans="1:38" s="33" customFormat="1" hidden="1" outlineLevel="1">
      <c r="A1032" s="1150"/>
      <c r="B1032" s="823">
        <f t="shared" si="82"/>
        <v>73</v>
      </c>
      <c r="C1032" s="373" t="str">
        <f t="shared" si="83"/>
        <v>TOLIMA</v>
      </c>
      <c r="D1032" s="374"/>
      <c r="E1032" s="1113"/>
      <c r="F1032" s="1104"/>
      <c r="G1032" s="375"/>
      <c r="H1032" s="1062"/>
      <c r="I1032" s="1057"/>
      <c r="J1032" s="1058"/>
      <c r="K1032" s="1070" t="str">
        <f t="shared" si="84"/>
        <v>Ok</v>
      </c>
      <c r="L1032" s="1077">
        <f t="shared" si="85"/>
        <v>0</v>
      </c>
      <c r="M1032" s="1091">
        <f>+H1032/'Parametros Generales'!$C$8</f>
        <v>0</v>
      </c>
      <c r="N1032" s="1098"/>
      <c r="O1032" s="1098"/>
      <c r="P1032" s="1098"/>
      <c r="Q1032" s="1098"/>
      <c r="R1032" s="1098">
        <f>+(M1032/'Parametros Generales'!$C$9)</f>
        <v>0</v>
      </c>
      <c r="S1032" s="395"/>
      <c r="T1032" s="395"/>
      <c r="U1032" s="395"/>
      <c r="V1032" s="396"/>
      <c r="W1032" s="376">
        <f>+R1032*'Componentes T.H.'!$Q$9*'Parametros Generales'!$C$6</f>
        <v>0</v>
      </c>
      <c r="X1032" s="376">
        <f>(+VLOOKUP(C1032,'Transporte y Viaticos'!$B$87:$L$120,2,0)*'Parametros Generales'!$C$7*R1032)*(2/3)</f>
        <v>0</v>
      </c>
      <c r="Y1032" s="417"/>
      <c r="Z1032" s="417"/>
      <c r="AA1032" s="417"/>
      <c r="AB1032" s="417">
        <f>+M1032*'Parametros Generales'!$C$6*'Parametros Generales'!$J$9</f>
        <v>0</v>
      </c>
      <c r="AC1032" s="417">
        <f>+H1032*'Parametros Generales'!$J$10*'Parametros Generales'!$C$6*'Parametros Generales'!$C$11</f>
        <v>0</v>
      </c>
      <c r="AD1032" s="417"/>
      <c r="AE1032" s="417"/>
      <c r="AF1032" s="417"/>
      <c r="AG1032" s="417"/>
      <c r="AH1032" s="417"/>
      <c r="AI1032" s="417"/>
      <c r="AJ1032" s="417"/>
      <c r="AK1032" s="436"/>
      <c r="AL1032" s="822"/>
    </row>
    <row r="1033" spans="1:38" s="33" customFormat="1" hidden="1" outlineLevel="1">
      <c r="A1033" s="1150"/>
      <c r="B1033" s="823">
        <f t="shared" si="82"/>
        <v>73</v>
      </c>
      <c r="C1033" s="373" t="str">
        <f t="shared" si="83"/>
        <v>TOLIMA</v>
      </c>
      <c r="D1033" s="374"/>
      <c r="E1033" s="1113"/>
      <c r="F1033" s="1104"/>
      <c r="G1033" s="375"/>
      <c r="H1033" s="1062"/>
      <c r="I1033" s="1057"/>
      <c r="J1033" s="1058"/>
      <c r="K1033" s="1070" t="str">
        <f t="shared" si="84"/>
        <v>Ok</v>
      </c>
      <c r="L1033" s="1077">
        <f t="shared" si="85"/>
        <v>0</v>
      </c>
      <c r="M1033" s="1091">
        <f>+H1033/'Parametros Generales'!$C$8</f>
        <v>0</v>
      </c>
      <c r="N1033" s="1098"/>
      <c r="O1033" s="1098"/>
      <c r="P1033" s="1098"/>
      <c r="Q1033" s="1098"/>
      <c r="R1033" s="1098">
        <f>+(M1033/'Parametros Generales'!$C$9)</f>
        <v>0</v>
      </c>
      <c r="S1033" s="395"/>
      <c r="T1033" s="395"/>
      <c r="U1033" s="395"/>
      <c r="V1033" s="396"/>
      <c r="W1033" s="376">
        <f>+R1033*'Componentes T.H.'!$Q$9*'Parametros Generales'!$C$6</f>
        <v>0</v>
      </c>
      <c r="X1033" s="376">
        <f>(+VLOOKUP(C1033,'Transporte y Viaticos'!$B$87:$L$120,2,0)*'Parametros Generales'!$C$7*R1033)*(2/3)</f>
        <v>0</v>
      </c>
      <c r="Y1033" s="417"/>
      <c r="Z1033" s="417"/>
      <c r="AA1033" s="417"/>
      <c r="AB1033" s="417">
        <f>+M1033*'Parametros Generales'!$C$6*'Parametros Generales'!$J$9</f>
        <v>0</v>
      </c>
      <c r="AC1033" s="417">
        <f>+H1033*'Parametros Generales'!$J$10*'Parametros Generales'!$C$6*'Parametros Generales'!$C$11</f>
        <v>0</v>
      </c>
      <c r="AD1033" s="417"/>
      <c r="AE1033" s="417"/>
      <c r="AF1033" s="417"/>
      <c r="AG1033" s="417"/>
      <c r="AH1033" s="417"/>
      <c r="AI1033" s="417"/>
      <c r="AJ1033" s="417"/>
      <c r="AK1033" s="436"/>
      <c r="AL1033" s="822"/>
    </row>
    <row r="1034" spans="1:38" s="33" customFormat="1" hidden="1" outlineLevel="1">
      <c r="A1034" s="1150"/>
      <c r="B1034" s="823">
        <f t="shared" si="82"/>
        <v>73</v>
      </c>
      <c r="C1034" s="373" t="str">
        <f t="shared" si="83"/>
        <v>TOLIMA</v>
      </c>
      <c r="D1034" s="374"/>
      <c r="E1034" s="1113"/>
      <c r="F1034" s="1104"/>
      <c r="G1034" s="375"/>
      <c r="H1034" s="1062"/>
      <c r="I1034" s="1057"/>
      <c r="J1034" s="1058"/>
      <c r="K1034" s="1070" t="str">
        <f t="shared" si="84"/>
        <v>Ok</v>
      </c>
      <c r="L1034" s="1077">
        <f t="shared" si="85"/>
        <v>0</v>
      </c>
      <c r="M1034" s="1091">
        <f>+H1034/'Parametros Generales'!$C$8</f>
        <v>0</v>
      </c>
      <c r="N1034" s="1098"/>
      <c r="O1034" s="1098"/>
      <c r="P1034" s="1098"/>
      <c r="Q1034" s="1098"/>
      <c r="R1034" s="1098">
        <f>+(M1034/'Parametros Generales'!$C$9)</f>
        <v>0</v>
      </c>
      <c r="S1034" s="395"/>
      <c r="T1034" s="395"/>
      <c r="U1034" s="395"/>
      <c r="V1034" s="396"/>
      <c r="W1034" s="376">
        <f>+R1034*'Componentes T.H.'!$Q$9*'Parametros Generales'!$C$6</f>
        <v>0</v>
      </c>
      <c r="X1034" s="376">
        <f>(+VLOOKUP(C1034,'Transporte y Viaticos'!$B$87:$L$120,2,0)*'Parametros Generales'!$C$7*R1034)*(2/3)</f>
        <v>0</v>
      </c>
      <c r="Y1034" s="417"/>
      <c r="Z1034" s="417"/>
      <c r="AA1034" s="417"/>
      <c r="AB1034" s="417">
        <f>+M1034*'Parametros Generales'!$C$6*'Parametros Generales'!$J$9</f>
        <v>0</v>
      </c>
      <c r="AC1034" s="417">
        <f>+H1034*'Parametros Generales'!$J$10*'Parametros Generales'!$C$6*'Parametros Generales'!$C$11</f>
        <v>0</v>
      </c>
      <c r="AD1034" s="417"/>
      <c r="AE1034" s="417"/>
      <c r="AF1034" s="417"/>
      <c r="AG1034" s="417"/>
      <c r="AH1034" s="417"/>
      <c r="AI1034" s="417"/>
      <c r="AJ1034" s="417"/>
      <c r="AK1034" s="436"/>
      <c r="AL1034" s="822"/>
    </row>
    <row r="1035" spans="1:38" s="33" customFormat="1" hidden="1" outlineLevel="1">
      <c r="A1035" s="1150"/>
      <c r="B1035" s="823">
        <f t="shared" si="82"/>
        <v>73</v>
      </c>
      <c r="C1035" s="373" t="str">
        <f t="shared" si="83"/>
        <v>TOLIMA</v>
      </c>
      <c r="D1035" s="374"/>
      <c r="E1035" s="1113"/>
      <c r="F1035" s="1104"/>
      <c r="G1035" s="375"/>
      <c r="H1035" s="1062"/>
      <c r="I1035" s="1057"/>
      <c r="J1035" s="1058"/>
      <c r="K1035" s="1070" t="str">
        <f t="shared" si="84"/>
        <v>Ok</v>
      </c>
      <c r="L1035" s="1077">
        <f t="shared" si="85"/>
        <v>0</v>
      </c>
      <c r="M1035" s="1091">
        <f>+H1035/'Parametros Generales'!$C$8</f>
        <v>0</v>
      </c>
      <c r="N1035" s="1098"/>
      <c r="O1035" s="1098"/>
      <c r="P1035" s="1098"/>
      <c r="Q1035" s="1098"/>
      <c r="R1035" s="1098">
        <f>+(M1035/'Parametros Generales'!$C$9)</f>
        <v>0</v>
      </c>
      <c r="S1035" s="395"/>
      <c r="T1035" s="395"/>
      <c r="U1035" s="395"/>
      <c r="V1035" s="396"/>
      <c r="W1035" s="376">
        <f>+R1035*'Componentes T.H.'!$Q$9*'Parametros Generales'!$C$6</f>
        <v>0</v>
      </c>
      <c r="X1035" s="376">
        <f>(+VLOOKUP(C1035,'Transporte y Viaticos'!$B$87:$L$120,2,0)*'Parametros Generales'!$C$7*R1035)*(2/3)</f>
        <v>0</v>
      </c>
      <c r="Y1035" s="417"/>
      <c r="Z1035" s="417"/>
      <c r="AA1035" s="417"/>
      <c r="AB1035" s="417">
        <f>+M1035*'Parametros Generales'!$C$6*'Parametros Generales'!$J$9</f>
        <v>0</v>
      </c>
      <c r="AC1035" s="417">
        <f>+H1035*'Parametros Generales'!$J$10*'Parametros Generales'!$C$6*'Parametros Generales'!$C$11</f>
        <v>0</v>
      </c>
      <c r="AD1035" s="417"/>
      <c r="AE1035" s="417"/>
      <c r="AF1035" s="417"/>
      <c r="AG1035" s="417"/>
      <c r="AH1035" s="417"/>
      <c r="AI1035" s="417"/>
      <c r="AJ1035" s="417"/>
      <c r="AK1035" s="436"/>
      <c r="AL1035" s="822"/>
    </row>
    <row r="1036" spans="1:38" s="33" customFormat="1" hidden="1" outlineLevel="1">
      <c r="A1036" s="1150"/>
      <c r="B1036" s="823">
        <f t="shared" si="82"/>
        <v>73</v>
      </c>
      <c r="C1036" s="373" t="str">
        <f t="shared" si="83"/>
        <v>TOLIMA</v>
      </c>
      <c r="D1036" s="374"/>
      <c r="E1036" s="1113"/>
      <c r="F1036" s="1104"/>
      <c r="G1036" s="375"/>
      <c r="H1036" s="1062"/>
      <c r="I1036" s="1057"/>
      <c r="J1036" s="1058"/>
      <c r="K1036" s="1070" t="str">
        <f t="shared" si="84"/>
        <v>Ok</v>
      </c>
      <c r="L1036" s="1077">
        <f t="shared" si="85"/>
        <v>0</v>
      </c>
      <c r="M1036" s="1091">
        <f>+H1036/'Parametros Generales'!$C$8</f>
        <v>0</v>
      </c>
      <c r="N1036" s="1098"/>
      <c r="O1036" s="1098"/>
      <c r="P1036" s="1098"/>
      <c r="Q1036" s="1098"/>
      <c r="R1036" s="1098">
        <f>+(M1036/'Parametros Generales'!$C$9)</f>
        <v>0</v>
      </c>
      <c r="S1036" s="395"/>
      <c r="T1036" s="395"/>
      <c r="U1036" s="395"/>
      <c r="V1036" s="396"/>
      <c r="W1036" s="376">
        <f>+R1036*'Componentes T.H.'!$Q$9*'Parametros Generales'!$C$6</f>
        <v>0</v>
      </c>
      <c r="X1036" s="376">
        <f>(+VLOOKUP(C1036,'Transporte y Viaticos'!$B$87:$L$120,2,0)*'Parametros Generales'!$C$7*R1036)*(2/3)</f>
        <v>0</v>
      </c>
      <c r="Y1036" s="417"/>
      <c r="Z1036" s="417"/>
      <c r="AA1036" s="417"/>
      <c r="AB1036" s="417">
        <f>+M1036*'Parametros Generales'!$C$6*'Parametros Generales'!$J$9</f>
        <v>0</v>
      </c>
      <c r="AC1036" s="417">
        <f>+H1036*'Parametros Generales'!$J$10*'Parametros Generales'!$C$6*'Parametros Generales'!$C$11</f>
        <v>0</v>
      </c>
      <c r="AD1036" s="417"/>
      <c r="AE1036" s="417"/>
      <c r="AF1036" s="417"/>
      <c r="AG1036" s="417"/>
      <c r="AH1036" s="417"/>
      <c r="AI1036" s="417"/>
      <c r="AJ1036" s="417"/>
      <c r="AK1036" s="436"/>
      <c r="AL1036" s="822"/>
    </row>
    <row r="1037" spans="1:38" s="33" customFormat="1" hidden="1" outlineLevel="1">
      <c r="A1037" s="1150"/>
      <c r="B1037" s="823">
        <f t="shared" si="82"/>
        <v>73</v>
      </c>
      <c r="C1037" s="373" t="str">
        <f t="shared" si="83"/>
        <v>TOLIMA</v>
      </c>
      <c r="D1037" s="374"/>
      <c r="E1037" s="1113"/>
      <c r="F1037" s="1104"/>
      <c r="G1037" s="375"/>
      <c r="H1037" s="1062"/>
      <c r="I1037" s="1057"/>
      <c r="J1037" s="1058"/>
      <c r="K1037" s="1070" t="str">
        <f t="shared" si="84"/>
        <v>Ok</v>
      </c>
      <c r="L1037" s="1077">
        <f t="shared" si="85"/>
        <v>0</v>
      </c>
      <c r="M1037" s="1091">
        <f>+H1037/'Parametros Generales'!$C$8</f>
        <v>0</v>
      </c>
      <c r="N1037" s="1098"/>
      <c r="O1037" s="1098"/>
      <c r="P1037" s="1098"/>
      <c r="Q1037" s="1098"/>
      <c r="R1037" s="1098">
        <f>+(M1037/'Parametros Generales'!$C$9)</f>
        <v>0</v>
      </c>
      <c r="S1037" s="395"/>
      <c r="T1037" s="395"/>
      <c r="U1037" s="395"/>
      <c r="V1037" s="396"/>
      <c r="W1037" s="376">
        <f>+R1037*'Componentes T.H.'!$Q$9*'Parametros Generales'!$C$6</f>
        <v>0</v>
      </c>
      <c r="X1037" s="376">
        <f>(+VLOOKUP(C1037,'Transporte y Viaticos'!$B$87:$L$120,2,0)*'Parametros Generales'!$C$7*R1037)*(2/3)</f>
        <v>0</v>
      </c>
      <c r="Y1037" s="417"/>
      <c r="Z1037" s="417"/>
      <c r="AA1037" s="417"/>
      <c r="AB1037" s="417">
        <f>+M1037*'Parametros Generales'!$C$6*'Parametros Generales'!$J$9</f>
        <v>0</v>
      </c>
      <c r="AC1037" s="417">
        <f>+H1037*'Parametros Generales'!$J$10*'Parametros Generales'!$C$6*'Parametros Generales'!$C$11</f>
        <v>0</v>
      </c>
      <c r="AD1037" s="417"/>
      <c r="AE1037" s="417"/>
      <c r="AF1037" s="417"/>
      <c r="AG1037" s="417"/>
      <c r="AH1037" s="417"/>
      <c r="AI1037" s="417"/>
      <c r="AJ1037" s="417"/>
      <c r="AK1037" s="436"/>
      <c r="AL1037" s="822"/>
    </row>
    <row r="1038" spans="1:38" s="392" customFormat="1" collapsed="1">
      <c r="A1038" s="1151">
        <v>25</v>
      </c>
      <c r="B1038" s="824">
        <v>76</v>
      </c>
      <c r="C1038" s="385" t="s">
        <v>657</v>
      </c>
      <c r="D1038" s="386"/>
      <c r="E1038" s="1114" t="s">
        <v>657</v>
      </c>
      <c r="F1038" s="1105">
        <f>SUM(F1039:F1094)</f>
        <v>42</v>
      </c>
      <c r="G1038" s="388">
        <f>+SUM(G1039:G1080)</f>
        <v>13497</v>
      </c>
      <c r="H1038" s="512">
        <f>+SUM(H1039:H1094)</f>
        <v>11750</v>
      </c>
      <c r="I1038" s="1057" t="s">
        <v>657</v>
      </c>
      <c r="J1038" s="1067">
        <v>11750</v>
      </c>
      <c r="K1038" s="1069" t="str">
        <f t="shared" si="84"/>
        <v>Ok</v>
      </c>
      <c r="L1038" s="1077">
        <f t="shared" si="85"/>
        <v>0</v>
      </c>
      <c r="M1038" s="512">
        <f>+SUM(M1039:M1094)</f>
        <v>470</v>
      </c>
      <c r="N1038" s="1073">
        <f>+VLOOKUP(H1038,'Parametros Generales'!$B$14:$D$17,3,TRUE)</f>
        <v>1</v>
      </c>
      <c r="O1038" s="1073">
        <f>+VLOOKUP(H1038,'Parametros Generales'!$B$14:$D$17,3,TRUE)</f>
        <v>1</v>
      </c>
      <c r="P1038" s="1073">
        <f>+VLOOKUP(H1038,'Parametros Generales'!$B$14:$D$17,3,TRUE)</f>
        <v>1</v>
      </c>
      <c r="Q1038" s="1073">
        <f>+R1038/'Parametros Generales'!$C$10</f>
        <v>14.6875</v>
      </c>
      <c r="R1038" s="512">
        <f>+SUM(R1039:R1094)</f>
        <v>117.5</v>
      </c>
      <c r="S1038" s="390">
        <f>+VLOOKUP(S$1,'Componentes T.H.'!$B$4:$R$22,'Componentes T.H.'!$Q$1,0)*'Parametros Generales'!$C$6*'Cost x Depart'!N1038</f>
        <v>14656764.137666669</v>
      </c>
      <c r="T1038" s="390">
        <f>+VLOOKUP(T$1,'Componentes T.H.'!$B$4:$R$22,'Componentes T.H.'!$Q$1,0)*'Parametros Generales'!$C$6*'Cost x Depart'!O1038</f>
        <v>11043815.659</v>
      </c>
      <c r="U1038" s="390">
        <f>+VLOOKUP(U$1,'Componentes T.H.'!$B$4:$R$22,'Componentes T.H.'!$Q$1,0)*'Parametros Generales'!$C$6*'Cost x Depart'!P1038</f>
        <v>4890432</v>
      </c>
      <c r="V1038" s="389">
        <f>+VLOOKUP(V$1,'Componentes T.H.'!$B$4:$R$22,'Componentes T.H.'!$Q$1,0)*'Parametros Generales'!$C$6*'Cost x Depart'!Q1038</f>
        <v>146743510.66052082</v>
      </c>
      <c r="W1038" s="512">
        <f>+SUM(W1039:W1094)</f>
        <v>589674580.84250009</v>
      </c>
      <c r="X1038" s="512">
        <f>+SUM(X1039:X1094)</f>
        <v>108610277.50786565</v>
      </c>
      <c r="Y1038" s="391">
        <f>+VLOOKUP(C1039,'Transporte y Viaticos'!$B$87:$F$120,2,0)*((O1038/'Parametros Generales'!$J$14)+(Q1038/'Parametros Generales'!$J$15)+(R1038/'Parametros Generales'!$J$16))*'Parametros Generales'!$C$6</f>
        <v>5160432.4672287777</v>
      </c>
      <c r="Z1038" s="391">
        <f>+(N1038+O1038+Q1038)*'Parametros Generales'!$C$6*'Parametros Generales'!$J$7</f>
        <v>3281096.25</v>
      </c>
      <c r="AA1038" s="391">
        <f>+SUM(N1038:R1038)*'Parametros Generales'!$C$6*'Parametros Generales'!$J$8</f>
        <v>24266156.25</v>
      </c>
      <c r="AB1038" s="512">
        <f>+SUM(AB1039:AB1094)</f>
        <v>228847272.72727278</v>
      </c>
      <c r="AC1038" s="512">
        <f>+SUM(AC1039:AC1094)</f>
        <v>865886802.58484554</v>
      </c>
      <c r="AD1038" s="391">
        <f>+'Parametros Generales'!$J$11*SUM(N1038:R1038)</f>
        <v>4547707.5</v>
      </c>
      <c r="AE1038" s="436">
        <f>+SUM(S1038:AD1038)</f>
        <v>2007608848.5869005</v>
      </c>
      <c r="AF1038" s="391">
        <f>+AE1038*(SUM('Res de Costos Pais'!G117:G117))</f>
        <v>137521206.12820271</v>
      </c>
      <c r="AG1038" s="391">
        <f>+AE1038+AF1038</f>
        <v>2145130054.7151031</v>
      </c>
      <c r="AH1038" s="391">
        <f>+AG1038*SUM('Res de Costos Pais'!$G$123:$G$124)</f>
        <v>20721956.328547895</v>
      </c>
      <c r="AI1038" s="391">
        <f>+(AG1038+AH1038)*'Res de Costos Pais'!$G$136</f>
        <v>5847800.4298178582</v>
      </c>
      <c r="AJ1038" s="391">
        <f>+(AG1038+AH1038+AI1038)*'Res de Costos Pais'!$G$140</f>
        <v>8686799.2458938751</v>
      </c>
      <c r="AK1038" s="391">
        <f>+AG1038+AH1038+AI1038+AJ1038</f>
        <v>2180386610.7193627</v>
      </c>
      <c r="AL1038" s="820">
        <f>IF(ISERROR((+(AK1038/H1038)/'Parametros Generales'!$C$6)),0,(+(AK1038/H1038)/'Parametros Generales'!$C$6))</f>
        <v>37112.963586712562</v>
      </c>
    </row>
    <row r="1039" spans="1:38" s="33" customFormat="1" hidden="1" outlineLevel="1">
      <c r="A1039" s="1150"/>
      <c r="B1039" s="819">
        <v>76</v>
      </c>
      <c r="C1039" s="377" t="s">
        <v>657</v>
      </c>
      <c r="D1039" s="378">
        <f>+VLOOKUP(E1039,Codigos!$A$1:$B$1123,2,0)</f>
        <v>76001</v>
      </c>
      <c r="E1039" s="1110" t="s">
        <v>2232</v>
      </c>
      <c r="F1039" s="1102">
        <v>1</v>
      </c>
      <c r="G1039" s="379">
        <v>3795</v>
      </c>
      <c r="H1039" s="1060">
        <f>CEILING((G1039+400-1000),'Parametros Generales'!$C$8)</f>
        <v>3200</v>
      </c>
      <c r="I1039" s="1057" t="s">
        <v>658</v>
      </c>
      <c r="J1039" s="1058">
        <v>3200</v>
      </c>
      <c r="K1039" s="1070" t="str">
        <f t="shared" si="84"/>
        <v>Ok</v>
      </c>
      <c r="L1039" s="1077">
        <f t="shared" si="85"/>
        <v>0</v>
      </c>
      <c r="M1039" s="1089">
        <f>+H1039/'Parametros Generales'!$C$8</f>
        <v>128</v>
      </c>
      <c r="N1039" s="1096"/>
      <c r="O1039" s="1096"/>
      <c r="P1039" s="1096"/>
      <c r="Q1039" s="1096"/>
      <c r="R1039" s="1096">
        <f>+(M1039/'Parametros Generales'!$C$9)</f>
        <v>32</v>
      </c>
      <c r="S1039" s="393"/>
      <c r="T1039" s="393"/>
      <c r="U1039" s="393"/>
      <c r="V1039" s="394"/>
      <c r="W1039" s="380">
        <f>+R1039*'Componentes T.H.'!$Q$9*'Parametros Generales'!$C$6</f>
        <v>160592226.27200001</v>
      </c>
      <c r="X1039" s="380">
        <f>(+VLOOKUP(C1039,'Transporte y Viaticos'!$B$87:$L$120,2,0)*'Parametros Generales'!$C$7*R1039)*(2/3)</f>
        <v>29578969.193631504</v>
      </c>
      <c r="Y1039" s="417"/>
      <c r="Z1039" s="417"/>
      <c r="AA1039" s="417"/>
      <c r="AB1039" s="417">
        <f>+M1039*'Parametros Generales'!$C$6*'Parametros Generales'!$J$9</f>
        <v>62324363.636363655</v>
      </c>
      <c r="AC1039" s="417">
        <f>+H1039*'Parametros Generales'!$J$10*'Parametros Generales'!$C$6*'Parametros Generales'!$C$11</f>
        <v>235815980.27842599</v>
      </c>
      <c r="AD1039" s="417"/>
      <c r="AE1039" s="417"/>
      <c r="AF1039" s="417"/>
      <c r="AG1039" s="417"/>
      <c r="AH1039" s="417"/>
      <c r="AI1039" s="417"/>
      <c r="AJ1039" s="417"/>
      <c r="AK1039" s="436"/>
      <c r="AL1039" s="822"/>
    </row>
    <row r="1040" spans="1:38" s="33" customFormat="1" hidden="1" outlineLevel="1">
      <c r="A1040" s="1150"/>
      <c r="B1040" s="821">
        <v>76</v>
      </c>
      <c r="C1040" s="371" t="s">
        <v>657</v>
      </c>
      <c r="D1040" s="31">
        <f>+VLOOKUP(E1040,Codigos!$A$1:$B$1123,2,0)</f>
        <v>76020</v>
      </c>
      <c r="E1040" s="1111" t="s">
        <v>2233</v>
      </c>
      <c r="F1040" s="1103">
        <v>1</v>
      </c>
      <c r="G1040" s="30">
        <v>198</v>
      </c>
      <c r="H1040" s="1064">
        <f>CEILING((G1040-50),'Parametros Generales'!$C$8)</f>
        <v>150</v>
      </c>
      <c r="I1040" s="1057" t="s">
        <v>659</v>
      </c>
      <c r="J1040" s="1058">
        <v>150</v>
      </c>
      <c r="K1040" s="1070" t="str">
        <f t="shared" si="84"/>
        <v>Ok</v>
      </c>
      <c r="L1040" s="1077">
        <f t="shared" si="85"/>
        <v>0</v>
      </c>
      <c r="M1040" s="1090">
        <f>+H1040/'Parametros Generales'!$C$8</f>
        <v>6</v>
      </c>
      <c r="N1040" s="1097"/>
      <c r="O1040" s="1097"/>
      <c r="P1040" s="1097"/>
      <c r="Q1040" s="1097"/>
      <c r="R1040" s="1097">
        <f>+(M1040/'Parametros Generales'!$C$9)</f>
        <v>1.5</v>
      </c>
      <c r="S1040" s="390"/>
      <c r="T1040" s="390"/>
      <c r="U1040" s="390"/>
      <c r="V1040" s="389"/>
      <c r="W1040" s="32">
        <f>+R1040*'Componentes T.H.'!$Q$9*'Parametros Generales'!$C$6</f>
        <v>7527760.6064999998</v>
      </c>
      <c r="X1040" s="32">
        <f>(+VLOOKUP(C1040,'Transporte y Viaticos'!$B$87:$L$120,2,0)*'Parametros Generales'!$C$7*R1040)*(2/3)</f>
        <v>1386514.1809514766</v>
      </c>
      <c r="Y1040" s="417"/>
      <c r="Z1040" s="417"/>
      <c r="AA1040" s="417"/>
      <c r="AB1040" s="417">
        <f>+M1040*'Parametros Generales'!$C$6*'Parametros Generales'!$J$9</f>
        <v>2921454.5454545463</v>
      </c>
      <c r="AC1040" s="417">
        <f>+H1040*'Parametros Generales'!$J$10*'Parametros Generales'!$C$6*'Parametros Generales'!$C$11</f>
        <v>11053874.075551221</v>
      </c>
      <c r="AD1040" s="417"/>
      <c r="AE1040" s="417"/>
      <c r="AF1040" s="417"/>
      <c r="AG1040" s="417"/>
      <c r="AH1040" s="417"/>
      <c r="AI1040" s="417"/>
      <c r="AJ1040" s="417"/>
      <c r="AK1040" s="436"/>
      <c r="AL1040" s="822"/>
    </row>
    <row r="1041" spans="1:38" s="33" customFormat="1" hidden="1" outlineLevel="1">
      <c r="A1041" s="1150"/>
      <c r="B1041" s="821">
        <v>76</v>
      </c>
      <c r="C1041" s="371" t="s">
        <v>657</v>
      </c>
      <c r="D1041" s="31">
        <f>+VLOOKUP(E1041,Codigos!$A$1:$B$1123,2,0)</f>
        <v>76036</v>
      </c>
      <c r="E1041" s="1111" t="s">
        <v>2234</v>
      </c>
      <c r="F1041" s="1103">
        <v>1</v>
      </c>
      <c r="G1041" s="30">
        <v>198</v>
      </c>
      <c r="H1041" s="1061">
        <f>CEILING((G1041-50),'Parametros Generales'!$C$8)</f>
        <v>150</v>
      </c>
      <c r="I1041" s="1057" t="s">
        <v>660</v>
      </c>
      <c r="J1041" s="1058">
        <v>150</v>
      </c>
      <c r="K1041" s="1070" t="str">
        <f t="shared" si="84"/>
        <v>Ok</v>
      </c>
      <c r="L1041" s="1076">
        <f t="shared" si="85"/>
        <v>0</v>
      </c>
      <c r="M1041" s="1090">
        <f>+H1041/'Parametros Generales'!$C$8</f>
        <v>6</v>
      </c>
      <c r="N1041" s="1097"/>
      <c r="O1041" s="1097"/>
      <c r="P1041" s="1097"/>
      <c r="Q1041" s="1097"/>
      <c r="R1041" s="1097">
        <f>+(M1041/'Parametros Generales'!$C$9)</f>
        <v>1.5</v>
      </c>
      <c r="S1041" s="390"/>
      <c r="T1041" s="390"/>
      <c r="U1041" s="390"/>
      <c r="V1041" s="389"/>
      <c r="W1041" s="32">
        <f>+R1041*'Componentes T.H.'!$Q$9*'Parametros Generales'!$C$6</f>
        <v>7527760.6064999998</v>
      </c>
      <c r="X1041" s="32">
        <f>(+VLOOKUP(C1041,'Transporte y Viaticos'!$B$87:$L$120,2,0)*'Parametros Generales'!$C$7*R1041)*(2/3)</f>
        <v>1386514.1809514766</v>
      </c>
      <c r="Y1041" s="417"/>
      <c r="Z1041" s="417"/>
      <c r="AA1041" s="417"/>
      <c r="AB1041" s="417">
        <f>+M1041*'Parametros Generales'!$C$6*'Parametros Generales'!$J$9</f>
        <v>2921454.5454545463</v>
      </c>
      <c r="AC1041" s="417">
        <f>+H1041*'Parametros Generales'!$J$10*'Parametros Generales'!$C$6*'Parametros Generales'!$C$11</f>
        <v>11053874.075551221</v>
      </c>
      <c r="AD1041" s="417"/>
      <c r="AE1041" s="417"/>
      <c r="AF1041" s="417"/>
      <c r="AG1041" s="417"/>
      <c r="AH1041" s="417"/>
      <c r="AI1041" s="417"/>
      <c r="AJ1041" s="417"/>
      <c r="AK1041" s="436"/>
      <c r="AL1041" s="822"/>
    </row>
    <row r="1042" spans="1:38" s="33" customFormat="1" hidden="1" outlineLevel="1">
      <c r="A1042" s="1150"/>
      <c r="B1042" s="821">
        <v>76</v>
      </c>
      <c r="C1042" s="371" t="s">
        <v>657</v>
      </c>
      <c r="D1042" s="31">
        <f>+VLOOKUP(E1042,Codigos!$A$1:$B$1123,2,0)</f>
        <v>76041</v>
      </c>
      <c r="E1042" s="1111" t="s">
        <v>2235</v>
      </c>
      <c r="F1042" s="1103">
        <v>1</v>
      </c>
      <c r="G1042" s="30">
        <v>198</v>
      </c>
      <c r="H1042" s="1061">
        <f>CEILING(G1042,'Parametros Generales'!$C$8)</f>
        <v>200</v>
      </c>
      <c r="I1042" s="1057" t="s">
        <v>661</v>
      </c>
      <c r="J1042" s="1058">
        <v>200</v>
      </c>
      <c r="K1042" s="1070" t="str">
        <f t="shared" si="84"/>
        <v>Ok</v>
      </c>
      <c r="L1042" s="1077">
        <f t="shared" si="85"/>
        <v>0</v>
      </c>
      <c r="M1042" s="1090">
        <f>+H1042/'Parametros Generales'!$C$8</f>
        <v>8</v>
      </c>
      <c r="N1042" s="1097"/>
      <c r="O1042" s="1097"/>
      <c r="P1042" s="1097"/>
      <c r="Q1042" s="1097"/>
      <c r="R1042" s="1097">
        <f>+(M1042/'Parametros Generales'!$C$9)</f>
        <v>2</v>
      </c>
      <c r="S1042" s="390"/>
      <c r="T1042" s="390"/>
      <c r="U1042" s="390"/>
      <c r="V1042" s="389"/>
      <c r="W1042" s="32">
        <f>+R1042*'Componentes T.H.'!$Q$9*'Parametros Generales'!$C$6</f>
        <v>10037014.142000001</v>
      </c>
      <c r="X1042" s="32">
        <f>(+VLOOKUP(C1042,'Transporte y Viaticos'!$B$87:$L$120,2,0)*'Parametros Generales'!$C$7*R1042)*(2/3)</f>
        <v>1848685.574601969</v>
      </c>
      <c r="Y1042" s="417"/>
      <c r="Z1042" s="417"/>
      <c r="AA1042" s="417"/>
      <c r="AB1042" s="417">
        <f>+M1042*'Parametros Generales'!$C$6*'Parametros Generales'!$J$9</f>
        <v>3895272.7272727285</v>
      </c>
      <c r="AC1042" s="417">
        <f>+H1042*'Parametros Generales'!$J$10*'Parametros Generales'!$C$6*'Parametros Generales'!$C$11</f>
        <v>14738498.767401624</v>
      </c>
      <c r="AD1042" s="417"/>
      <c r="AE1042" s="417"/>
      <c r="AF1042" s="417"/>
      <c r="AG1042" s="417"/>
      <c r="AH1042" s="417"/>
      <c r="AI1042" s="417"/>
      <c r="AJ1042" s="417"/>
      <c r="AK1042" s="436"/>
      <c r="AL1042" s="822"/>
    </row>
    <row r="1043" spans="1:38" s="33" customFormat="1" hidden="1" outlineLevel="1">
      <c r="A1043" s="1150"/>
      <c r="B1043" s="821">
        <v>76</v>
      </c>
      <c r="C1043" s="371" t="s">
        <v>657</v>
      </c>
      <c r="D1043" s="31">
        <f>+VLOOKUP(E1043,Codigos!$A$1:$B$1123,2,0)</f>
        <v>76054</v>
      </c>
      <c r="E1043" s="1111" t="s">
        <v>2236</v>
      </c>
      <c r="F1043" s="1103">
        <v>1</v>
      </c>
      <c r="G1043" s="30">
        <v>198</v>
      </c>
      <c r="H1043" s="1061">
        <f>CEILING(G1043,'Parametros Generales'!$C$8)</f>
        <v>200</v>
      </c>
      <c r="I1043" s="1057" t="s">
        <v>662</v>
      </c>
      <c r="J1043" s="1058">
        <v>200</v>
      </c>
      <c r="K1043" s="1070" t="str">
        <f t="shared" si="84"/>
        <v>Ok</v>
      </c>
      <c r="L1043" s="1078">
        <f t="shared" si="85"/>
        <v>0</v>
      </c>
      <c r="M1043" s="1090">
        <f>+H1043/'Parametros Generales'!$C$8</f>
        <v>8</v>
      </c>
      <c r="N1043" s="1097"/>
      <c r="O1043" s="1097"/>
      <c r="P1043" s="1097"/>
      <c r="Q1043" s="1097"/>
      <c r="R1043" s="1097">
        <f>+(M1043/'Parametros Generales'!$C$9)</f>
        <v>2</v>
      </c>
      <c r="S1043" s="390"/>
      <c r="T1043" s="390"/>
      <c r="U1043" s="390"/>
      <c r="V1043" s="389"/>
      <c r="W1043" s="32">
        <f>+R1043*'Componentes T.H.'!$Q$9*'Parametros Generales'!$C$6</f>
        <v>10037014.142000001</v>
      </c>
      <c r="X1043" s="32">
        <f>(+VLOOKUP(C1043,'Transporte y Viaticos'!$B$87:$L$120,2,0)*'Parametros Generales'!$C$7*R1043)*(2/3)</f>
        <v>1848685.574601969</v>
      </c>
      <c r="Y1043" s="417"/>
      <c r="Z1043" s="417"/>
      <c r="AA1043" s="417"/>
      <c r="AB1043" s="417">
        <f>+M1043*'Parametros Generales'!$C$6*'Parametros Generales'!$J$9</f>
        <v>3895272.7272727285</v>
      </c>
      <c r="AC1043" s="417">
        <f>+H1043*'Parametros Generales'!$J$10*'Parametros Generales'!$C$6*'Parametros Generales'!$C$11</f>
        <v>14738498.767401624</v>
      </c>
      <c r="AD1043" s="417"/>
      <c r="AE1043" s="417"/>
      <c r="AF1043" s="417"/>
      <c r="AG1043" s="417"/>
      <c r="AH1043" s="417"/>
      <c r="AI1043" s="417"/>
      <c r="AJ1043" s="417"/>
      <c r="AK1043" s="436"/>
      <c r="AL1043" s="822"/>
    </row>
    <row r="1044" spans="1:38" s="33" customFormat="1" hidden="1" outlineLevel="1">
      <c r="A1044" s="1150"/>
      <c r="B1044" s="821">
        <v>76</v>
      </c>
      <c r="C1044" s="371" t="s">
        <v>657</v>
      </c>
      <c r="D1044" s="31">
        <f>+VLOOKUP(E1044,Codigos!$A$1:$B$1123,2,0)</f>
        <v>76100</v>
      </c>
      <c r="E1044" s="1111" t="s">
        <v>2237</v>
      </c>
      <c r="F1044" s="1103">
        <v>1</v>
      </c>
      <c r="G1044" s="30">
        <v>198</v>
      </c>
      <c r="H1044" s="1061">
        <f>CEILING(G1044,'Parametros Generales'!$C$8)</f>
        <v>200</v>
      </c>
      <c r="I1044" s="1057" t="s">
        <v>663</v>
      </c>
      <c r="J1044" s="1058">
        <v>200</v>
      </c>
      <c r="K1044" s="1070" t="str">
        <f t="shared" si="84"/>
        <v>Ok</v>
      </c>
      <c r="L1044" s="1077">
        <f t="shared" si="85"/>
        <v>0</v>
      </c>
      <c r="M1044" s="1090">
        <f>+H1044/'Parametros Generales'!$C$8</f>
        <v>8</v>
      </c>
      <c r="N1044" s="1097"/>
      <c r="O1044" s="1097"/>
      <c r="P1044" s="1097"/>
      <c r="Q1044" s="1097"/>
      <c r="R1044" s="1097">
        <f>+(M1044/'Parametros Generales'!$C$9)</f>
        <v>2</v>
      </c>
      <c r="S1044" s="390"/>
      <c r="T1044" s="390"/>
      <c r="U1044" s="390"/>
      <c r="V1044" s="389"/>
      <c r="W1044" s="32">
        <f>+R1044*'Componentes T.H.'!$Q$9*'Parametros Generales'!$C$6</f>
        <v>10037014.142000001</v>
      </c>
      <c r="X1044" s="32">
        <f>(+VLOOKUP(C1044,'Transporte y Viaticos'!$B$87:$L$120,2,0)*'Parametros Generales'!$C$7*R1044)*(2/3)</f>
        <v>1848685.574601969</v>
      </c>
      <c r="Y1044" s="417"/>
      <c r="Z1044" s="417"/>
      <c r="AA1044" s="417"/>
      <c r="AB1044" s="417">
        <f>+M1044*'Parametros Generales'!$C$6*'Parametros Generales'!$J$9</f>
        <v>3895272.7272727285</v>
      </c>
      <c r="AC1044" s="417">
        <f>+H1044*'Parametros Generales'!$J$10*'Parametros Generales'!$C$6*'Parametros Generales'!$C$11</f>
        <v>14738498.767401624</v>
      </c>
      <c r="AD1044" s="417"/>
      <c r="AE1044" s="417"/>
      <c r="AF1044" s="417"/>
      <c r="AG1044" s="417"/>
      <c r="AH1044" s="417"/>
      <c r="AI1044" s="417"/>
      <c r="AJ1044" s="417"/>
      <c r="AK1044" s="436"/>
      <c r="AL1044" s="822"/>
    </row>
    <row r="1045" spans="1:38" s="33" customFormat="1" hidden="1" outlineLevel="1">
      <c r="A1045" s="1150"/>
      <c r="B1045" s="821">
        <v>76</v>
      </c>
      <c r="C1045" s="371" t="s">
        <v>657</v>
      </c>
      <c r="D1045" s="31">
        <f>+VLOOKUP(E1045,Codigos!$A$1:$B$1123,2,0)</f>
        <v>76109</v>
      </c>
      <c r="E1045" s="1111" t="s">
        <v>2238</v>
      </c>
      <c r="F1045" s="1103">
        <v>1</v>
      </c>
      <c r="G1045" s="30">
        <v>594</v>
      </c>
      <c r="H1045" s="1061">
        <f>CEILING(G1045,'Parametros Generales'!$C$8)</f>
        <v>600</v>
      </c>
      <c r="I1045" s="1057" t="s">
        <v>664</v>
      </c>
      <c r="J1045" s="1058">
        <v>600</v>
      </c>
      <c r="K1045" s="1070" t="str">
        <f t="shared" si="84"/>
        <v>Ok</v>
      </c>
      <c r="L1045" s="1077">
        <f t="shared" si="85"/>
        <v>0</v>
      </c>
      <c r="M1045" s="1090">
        <f>+H1045/'Parametros Generales'!$C$8</f>
        <v>24</v>
      </c>
      <c r="N1045" s="1097"/>
      <c r="O1045" s="1097"/>
      <c r="P1045" s="1097"/>
      <c r="Q1045" s="1097"/>
      <c r="R1045" s="1097">
        <f>+(M1045/'Parametros Generales'!$C$9)</f>
        <v>6</v>
      </c>
      <c r="S1045" s="390"/>
      <c r="T1045" s="390"/>
      <c r="U1045" s="390"/>
      <c r="V1045" s="389"/>
      <c r="W1045" s="32">
        <f>+R1045*'Componentes T.H.'!$Q$9*'Parametros Generales'!$C$6</f>
        <v>30111042.425999999</v>
      </c>
      <c r="X1045" s="32">
        <f>(+VLOOKUP(C1045,'Transporte y Viaticos'!$B$87:$L$120,2,0)*'Parametros Generales'!$C$7*R1045)*(2/3)</f>
        <v>5546056.7238059063</v>
      </c>
      <c r="Y1045" s="417"/>
      <c r="Z1045" s="417"/>
      <c r="AA1045" s="417"/>
      <c r="AB1045" s="417">
        <f>+M1045*'Parametros Generales'!$C$6*'Parametros Generales'!$J$9</f>
        <v>11685818.181818185</v>
      </c>
      <c r="AC1045" s="417">
        <f>+H1045*'Parametros Generales'!$J$10*'Parametros Generales'!$C$6*'Parametros Generales'!$C$11</f>
        <v>44215496.302204885</v>
      </c>
      <c r="AD1045" s="417"/>
      <c r="AE1045" s="417"/>
      <c r="AF1045" s="417"/>
      <c r="AG1045" s="417"/>
      <c r="AH1045" s="417"/>
      <c r="AI1045" s="417"/>
      <c r="AJ1045" s="417"/>
      <c r="AK1045" s="436"/>
      <c r="AL1045" s="822"/>
    </row>
    <row r="1046" spans="1:38" s="33" customFormat="1" hidden="1" outlineLevel="1">
      <c r="A1046" s="1150"/>
      <c r="B1046" s="821">
        <v>76</v>
      </c>
      <c r="C1046" s="371" t="s">
        <v>657</v>
      </c>
      <c r="D1046" s="31">
        <f>+VLOOKUP(E1046,Codigos!$A$1:$B$1123,2,0)</f>
        <v>76113</v>
      </c>
      <c r="E1046" s="1111" t="s">
        <v>2239</v>
      </c>
      <c r="F1046" s="1103">
        <v>1</v>
      </c>
      <c r="G1046" s="30">
        <v>198</v>
      </c>
      <c r="H1046" s="1061">
        <f>CEILING((G1046-100),'Parametros Generales'!$C$8)</f>
        <v>100</v>
      </c>
      <c r="I1046" s="1057" t="s">
        <v>665</v>
      </c>
      <c r="J1046" s="1058">
        <v>100</v>
      </c>
      <c r="K1046" s="1070" t="str">
        <f t="shared" si="84"/>
        <v>Ok</v>
      </c>
      <c r="L1046" s="1077">
        <f t="shared" si="85"/>
        <v>0</v>
      </c>
      <c r="M1046" s="1090">
        <f>+H1046/'Parametros Generales'!$C$8</f>
        <v>4</v>
      </c>
      <c r="N1046" s="1097"/>
      <c r="O1046" s="1097"/>
      <c r="P1046" s="1097"/>
      <c r="Q1046" s="1097"/>
      <c r="R1046" s="1097">
        <f>+(M1046/'Parametros Generales'!$C$9)</f>
        <v>1</v>
      </c>
      <c r="S1046" s="390"/>
      <c r="T1046" s="390"/>
      <c r="U1046" s="390"/>
      <c r="V1046" s="389"/>
      <c r="W1046" s="32">
        <f>+R1046*'Componentes T.H.'!$Q$9*'Parametros Generales'!$C$6</f>
        <v>5018507.0710000005</v>
      </c>
      <c r="X1046" s="32">
        <f>(+VLOOKUP(C1046,'Transporte y Viaticos'!$B$87:$L$120,2,0)*'Parametros Generales'!$C$7*R1046)*(2/3)</f>
        <v>924342.78730098449</v>
      </c>
      <c r="Y1046" s="417"/>
      <c r="Z1046" s="417"/>
      <c r="AA1046" s="417"/>
      <c r="AB1046" s="417">
        <f>+M1046*'Parametros Generales'!$C$6*'Parametros Generales'!$J$9</f>
        <v>1947636.3636363642</v>
      </c>
      <c r="AC1046" s="417">
        <f>+H1046*'Parametros Generales'!$J$10*'Parametros Generales'!$C$6*'Parametros Generales'!$C$11</f>
        <v>7369249.3837008122</v>
      </c>
      <c r="AD1046" s="417"/>
      <c r="AE1046" s="417"/>
      <c r="AF1046" s="417"/>
      <c r="AG1046" s="417"/>
      <c r="AH1046" s="417"/>
      <c r="AI1046" s="417"/>
      <c r="AJ1046" s="417"/>
      <c r="AK1046" s="436"/>
      <c r="AL1046" s="822"/>
    </row>
    <row r="1047" spans="1:38" s="33" customFormat="1" hidden="1" outlineLevel="1">
      <c r="A1047" s="1150"/>
      <c r="B1047" s="821">
        <v>76</v>
      </c>
      <c r="C1047" s="371" t="s">
        <v>657</v>
      </c>
      <c r="D1047" s="31">
        <f>+VLOOKUP(E1047,Codigos!$A$1:$B$1123,2,0)</f>
        <v>76122</v>
      </c>
      <c r="E1047" s="1111" t="s">
        <v>2240</v>
      </c>
      <c r="F1047" s="1103">
        <v>1</v>
      </c>
      <c r="G1047" s="30">
        <v>198</v>
      </c>
      <c r="H1047" s="1061">
        <f>CEILING(G1047,'Parametros Generales'!$C$8)</f>
        <v>200</v>
      </c>
      <c r="I1047" s="1057" t="s">
        <v>666</v>
      </c>
      <c r="J1047" s="1058">
        <v>200</v>
      </c>
      <c r="K1047" s="1070" t="str">
        <f t="shared" si="84"/>
        <v>Ok</v>
      </c>
      <c r="L1047" s="1077">
        <f t="shared" si="85"/>
        <v>0</v>
      </c>
      <c r="M1047" s="1090">
        <f>+H1047/'Parametros Generales'!$C$8</f>
        <v>8</v>
      </c>
      <c r="N1047" s="1097"/>
      <c r="O1047" s="1097"/>
      <c r="P1047" s="1097"/>
      <c r="Q1047" s="1097"/>
      <c r="R1047" s="1097">
        <f>+(M1047/'Parametros Generales'!$C$9)</f>
        <v>2</v>
      </c>
      <c r="S1047" s="390"/>
      <c r="T1047" s="390"/>
      <c r="U1047" s="390"/>
      <c r="V1047" s="389"/>
      <c r="W1047" s="32">
        <f>+R1047*'Componentes T.H.'!$Q$9*'Parametros Generales'!$C$6</f>
        <v>10037014.142000001</v>
      </c>
      <c r="X1047" s="32">
        <f>(+VLOOKUP(C1047,'Transporte y Viaticos'!$B$87:$L$120,2,0)*'Parametros Generales'!$C$7*R1047)*(2/3)</f>
        <v>1848685.574601969</v>
      </c>
      <c r="Y1047" s="417"/>
      <c r="Z1047" s="417"/>
      <c r="AA1047" s="417"/>
      <c r="AB1047" s="417">
        <f>+M1047*'Parametros Generales'!$C$6*'Parametros Generales'!$J$9</f>
        <v>3895272.7272727285</v>
      </c>
      <c r="AC1047" s="417">
        <f>+H1047*'Parametros Generales'!$J$10*'Parametros Generales'!$C$6*'Parametros Generales'!$C$11</f>
        <v>14738498.767401624</v>
      </c>
      <c r="AD1047" s="417"/>
      <c r="AE1047" s="417"/>
      <c r="AF1047" s="417"/>
      <c r="AG1047" s="417"/>
      <c r="AH1047" s="417"/>
      <c r="AI1047" s="417"/>
      <c r="AJ1047" s="417"/>
      <c r="AK1047" s="436"/>
      <c r="AL1047" s="822"/>
    </row>
    <row r="1048" spans="1:38" s="33" customFormat="1" hidden="1" outlineLevel="1">
      <c r="A1048" s="1150"/>
      <c r="B1048" s="821">
        <v>76</v>
      </c>
      <c r="C1048" s="371" t="s">
        <v>657</v>
      </c>
      <c r="D1048" s="31">
        <f>+VLOOKUP(E1048,Codigos!$A$1:$B$1123,2,0)</f>
        <v>76126</v>
      </c>
      <c r="E1048" s="1111" t="s">
        <v>2241</v>
      </c>
      <c r="F1048" s="1103">
        <v>1</v>
      </c>
      <c r="G1048" s="30">
        <v>198</v>
      </c>
      <c r="H1048" s="1061">
        <f>CEILING((G1048-100),'Parametros Generales'!$C$8)</f>
        <v>100</v>
      </c>
      <c r="I1048" s="1057" t="s">
        <v>667</v>
      </c>
      <c r="J1048" s="1058">
        <v>100</v>
      </c>
      <c r="K1048" s="1070" t="str">
        <f t="shared" si="84"/>
        <v>Ok</v>
      </c>
      <c r="L1048" s="1077">
        <f t="shared" si="85"/>
        <v>0</v>
      </c>
      <c r="M1048" s="1090">
        <f>+H1048/'Parametros Generales'!$C$8</f>
        <v>4</v>
      </c>
      <c r="N1048" s="1097"/>
      <c r="O1048" s="1097"/>
      <c r="P1048" s="1097"/>
      <c r="Q1048" s="1097"/>
      <c r="R1048" s="1097">
        <f>+(M1048/'Parametros Generales'!$C$9)</f>
        <v>1</v>
      </c>
      <c r="S1048" s="390"/>
      <c r="T1048" s="390"/>
      <c r="U1048" s="390"/>
      <c r="V1048" s="389"/>
      <c r="W1048" s="32">
        <f>+R1048*'Componentes T.H.'!$Q$9*'Parametros Generales'!$C$6</f>
        <v>5018507.0710000005</v>
      </c>
      <c r="X1048" s="32">
        <f>(+VLOOKUP(C1048,'Transporte y Viaticos'!$B$87:$L$120,2,0)*'Parametros Generales'!$C$7*R1048)*(2/3)</f>
        <v>924342.78730098449</v>
      </c>
      <c r="Y1048" s="417"/>
      <c r="Z1048" s="417"/>
      <c r="AA1048" s="417"/>
      <c r="AB1048" s="417">
        <f>+M1048*'Parametros Generales'!$C$6*'Parametros Generales'!$J$9</f>
        <v>1947636.3636363642</v>
      </c>
      <c r="AC1048" s="417">
        <f>+H1048*'Parametros Generales'!$J$10*'Parametros Generales'!$C$6*'Parametros Generales'!$C$11</f>
        <v>7369249.3837008122</v>
      </c>
      <c r="AD1048" s="417"/>
      <c r="AE1048" s="417"/>
      <c r="AF1048" s="417"/>
      <c r="AG1048" s="417"/>
      <c r="AH1048" s="417"/>
      <c r="AI1048" s="417"/>
      <c r="AJ1048" s="417"/>
      <c r="AK1048" s="436"/>
      <c r="AL1048" s="822"/>
    </row>
    <row r="1049" spans="1:38" s="33" customFormat="1" hidden="1" outlineLevel="1">
      <c r="A1049" s="1150"/>
      <c r="B1049" s="821">
        <v>76</v>
      </c>
      <c r="C1049" s="371" t="s">
        <v>657</v>
      </c>
      <c r="D1049" s="31">
        <f>+VLOOKUP(E1049,Codigos!$A$1:$B$1123,2,0)</f>
        <v>76130</v>
      </c>
      <c r="E1049" s="1111" t="s">
        <v>2242</v>
      </c>
      <c r="F1049" s="1103">
        <v>1</v>
      </c>
      <c r="G1049" s="30">
        <v>198</v>
      </c>
      <c r="H1049" s="1061">
        <f>CEILING(G1049,'Parametros Generales'!$C$8)</f>
        <v>200</v>
      </c>
      <c r="I1049" s="1057" t="s">
        <v>668</v>
      </c>
      <c r="J1049" s="1058">
        <v>200</v>
      </c>
      <c r="K1049" s="1070" t="str">
        <f t="shared" si="84"/>
        <v>Ok</v>
      </c>
      <c r="L1049" s="1077">
        <f t="shared" si="85"/>
        <v>0</v>
      </c>
      <c r="M1049" s="1090">
        <f>+H1049/'Parametros Generales'!$C$8</f>
        <v>8</v>
      </c>
      <c r="N1049" s="1097"/>
      <c r="O1049" s="1097"/>
      <c r="P1049" s="1097"/>
      <c r="Q1049" s="1097"/>
      <c r="R1049" s="1097">
        <f>+(M1049/'Parametros Generales'!$C$9)</f>
        <v>2</v>
      </c>
      <c r="S1049" s="390"/>
      <c r="T1049" s="390"/>
      <c r="U1049" s="390"/>
      <c r="V1049" s="389"/>
      <c r="W1049" s="32">
        <f>+R1049*'Componentes T.H.'!$Q$9*'Parametros Generales'!$C$6</f>
        <v>10037014.142000001</v>
      </c>
      <c r="X1049" s="32">
        <f>(+VLOOKUP(C1049,'Transporte y Viaticos'!$B$87:$L$120,2,0)*'Parametros Generales'!$C$7*R1049)*(2/3)</f>
        <v>1848685.574601969</v>
      </c>
      <c r="Y1049" s="417"/>
      <c r="Z1049" s="417"/>
      <c r="AA1049" s="417"/>
      <c r="AB1049" s="417">
        <f>+M1049*'Parametros Generales'!$C$6*'Parametros Generales'!$J$9</f>
        <v>3895272.7272727285</v>
      </c>
      <c r="AC1049" s="417">
        <f>+H1049*'Parametros Generales'!$J$10*'Parametros Generales'!$C$6*'Parametros Generales'!$C$11</f>
        <v>14738498.767401624</v>
      </c>
      <c r="AD1049" s="417"/>
      <c r="AE1049" s="417"/>
      <c r="AF1049" s="417"/>
      <c r="AG1049" s="417"/>
      <c r="AH1049" s="417"/>
      <c r="AI1049" s="417"/>
      <c r="AJ1049" s="417"/>
      <c r="AK1049" s="436"/>
      <c r="AL1049" s="822"/>
    </row>
    <row r="1050" spans="1:38" s="33" customFormat="1" hidden="1" outlineLevel="1">
      <c r="A1050" s="1150"/>
      <c r="B1050" s="821">
        <v>76</v>
      </c>
      <c r="C1050" s="371" t="s">
        <v>657</v>
      </c>
      <c r="D1050" s="31">
        <f>+VLOOKUP(E1050,Codigos!$A$1:$B$1123,2,0)</f>
        <v>76147</v>
      </c>
      <c r="E1050" s="1111" t="s">
        <v>2243</v>
      </c>
      <c r="F1050" s="1103">
        <v>1</v>
      </c>
      <c r="G1050" s="30">
        <v>396</v>
      </c>
      <c r="H1050" s="1061">
        <f>CEILING((G1050-100),'Parametros Generales'!$C$8)</f>
        <v>300</v>
      </c>
      <c r="I1050" s="1057" t="s">
        <v>669</v>
      </c>
      <c r="J1050" s="1058">
        <v>300</v>
      </c>
      <c r="K1050" s="1070" t="str">
        <f t="shared" si="84"/>
        <v>Ok</v>
      </c>
      <c r="L1050" s="1077">
        <f t="shared" si="85"/>
        <v>0</v>
      </c>
      <c r="M1050" s="1090">
        <f>+H1050/'Parametros Generales'!$C$8</f>
        <v>12</v>
      </c>
      <c r="N1050" s="1097"/>
      <c r="O1050" s="1097"/>
      <c r="P1050" s="1097"/>
      <c r="Q1050" s="1097"/>
      <c r="R1050" s="1097">
        <f>+(M1050/'Parametros Generales'!$C$9)</f>
        <v>3</v>
      </c>
      <c r="S1050" s="390"/>
      <c r="T1050" s="390"/>
      <c r="U1050" s="390"/>
      <c r="V1050" s="389"/>
      <c r="W1050" s="32">
        <f>+R1050*'Componentes T.H.'!$Q$9*'Parametros Generales'!$C$6</f>
        <v>15055521.213</v>
      </c>
      <c r="X1050" s="32">
        <f>(+VLOOKUP(C1050,'Transporte y Viaticos'!$B$87:$L$120,2,0)*'Parametros Generales'!$C$7*R1050)*(2/3)</f>
        <v>2773028.3619029531</v>
      </c>
      <c r="Y1050" s="417"/>
      <c r="Z1050" s="417"/>
      <c r="AA1050" s="417"/>
      <c r="AB1050" s="417">
        <f>+M1050*'Parametros Generales'!$C$6*'Parametros Generales'!$J$9</f>
        <v>5842909.0909090927</v>
      </c>
      <c r="AC1050" s="417">
        <f>+H1050*'Parametros Generales'!$J$10*'Parametros Generales'!$C$6*'Parametros Generales'!$C$11</f>
        <v>22107748.151102442</v>
      </c>
      <c r="AD1050" s="417"/>
      <c r="AE1050" s="417"/>
      <c r="AF1050" s="417"/>
      <c r="AG1050" s="417"/>
      <c r="AH1050" s="417"/>
      <c r="AI1050" s="417"/>
      <c r="AJ1050" s="417"/>
      <c r="AK1050" s="436"/>
      <c r="AL1050" s="822"/>
    </row>
    <row r="1051" spans="1:38" s="33" customFormat="1" hidden="1" outlineLevel="1">
      <c r="A1051" s="1150"/>
      <c r="B1051" s="821">
        <v>76</v>
      </c>
      <c r="C1051" s="371" t="s">
        <v>657</v>
      </c>
      <c r="D1051" s="31">
        <f>+VLOOKUP(E1051,Codigos!$A$1:$B$1123,2,0)</f>
        <v>76233</v>
      </c>
      <c r="E1051" s="1111" t="s">
        <v>2244</v>
      </c>
      <c r="F1051" s="1103">
        <v>1</v>
      </c>
      <c r="G1051" s="30">
        <v>198</v>
      </c>
      <c r="H1051" s="1061">
        <f>CEILING(G1051,'Parametros Generales'!$C$8)</f>
        <v>200</v>
      </c>
      <c r="I1051" s="1057" t="s">
        <v>670</v>
      </c>
      <c r="J1051" s="1058">
        <v>200</v>
      </c>
      <c r="K1051" s="1070" t="str">
        <f t="shared" si="84"/>
        <v>Ok</v>
      </c>
      <c r="L1051" s="1077">
        <f t="shared" si="85"/>
        <v>0</v>
      </c>
      <c r="M1051" s="1090">
        <f>+H1051/'Parametros Generales'!$C$8</f>
        <v>8</v>
      </c>
      <c r="N1051" s="1097"/>
      <c r="O1051" s="1097"/>
      <c r="P1051" s="1097"/>
      <c r="Q1051" s="1097"/>
      <c r="R1051" s="1097">
        <f>+(M1051/'Parametros Generales'!$C$9)</f>
        <v>2</v>
      </c>
      <c r="S1051" s="390"/>
      <c r="T1051" s="390"/>
      <c r="U1051" s="390"/>
      <c r="V1051" s="389"/>
      <c r="W1051" s="32">
        <f>+R1051*'Componentes T.H.'!$Q$9*'Parametros Generales'!$C$6</f>
        <v>10037014.142000001</v>
      </c>
      <c r="X1051" s="32">
        <f>(+VLOOKUP(C1051,'Transporte y Viaticos'!$B$87:$L$120,2,0)*'Parametros Generales'!$C$7*R1051)*(2/3)</f>
        <v>1848685.574601969</v>
      </c>
      <c r="Y1051" s="417"/>
      <c r="Z1051" s="417"/>
      <c r="AA1051" s="417"/>
      <c r="AB1051" s="417">
        <f>+M1051*'Parametros Generales'!$C$6*'Parametros Generales'!$J$9</f>
        <v>3895272.7272727285</v>
      </c>
      <c r="AC1051" s="417">
        <f>+H1051*'Parametros Generales'!$J$10*'Parametros Generales'!$C$6*'Parametros Generales'!$C$11</f>
        <v>14738498.767401624</v>
      </c>
      <c r="AD1051" s="417"/>
      <c r="AE1051" s="417"/>
      <c r="AF1051" s="417"/>
      <c r="AG1051" s="417"/>
      <c r="AH1051" s="417"/>
      <c r="AI1051" s="417"/>
      <c r="AJ1051" s="417"/>
      <c r="AK1051" s="436"/>
      <c r="AL1051" s="822"/>
    </row>
    <row r="1052" spans="1:38" s="33" customFormat="1" hidden="1" outlineLevel="1">
      <c r="A1052" s="1150"/>
      <c r="B1052" s="821">
        <v>76</v>
      </c>
      <c r="C1052" s="371" t="s">
        <v>657</v>
      </c>
      <c r="D1052" s="31">
        <f>+VLOOKUP(E1052,Codigos!$A$1:$B$1123,2,0)</f>
        <v>76243</v>
      </c>
      <c r="E1052" s="1111" t="s">
        <v>2245</v>
      </c>
      <c r="F1052" s="1103">
        <v>1</v>
      </c>
      <c r="G1052" s="30">
        <v>198</v>
      </c>
      <c r="H1052" s="1061">
        <f>CEILING(G1052,'Parametros Generales'!$C$8)</f>
        <v>200</v>
      </c>
      <c r="I1052" s="1057" t="s">
        <v>671</v>
      </c>
      <c r="J1052" s="1058">
        <v>200</v>
      </c>
      <c r="K1052" s="1070" t="str">
        <f t="shared" si="84"/>
        <v>Ok</v>
      </c>
      <c r="L1052" s="1077">
        <f t="shared" si="85"/>
        <v>0</v>
      </c>
      <c r="M1052" s="1090">
        <f>+H1052/'Parametros Generales'!$C$8</f>
        <v>8</v>
      </c>
      <c r="N1052" s="1097"/>
      <c r="O1052" s="1097"/>
      <c r="P1052" s="1097"/>
      <c r="Q1052" s="1097"/>
      <c r="R1052" s="1097">
        <f>+(M1052/'Parametros Generales'!$C$9)</f>
        <v>2</v>
      </c>
      <c r="S1052" s="390"/>
      <c r="T1052" s="390"/>
      <c r="U1052" s="390"/>
      <c r="V1052" s="389"/>
      <c r="W1052" s="32">
        <f>+R1052*'Componentes T.H.'!$Q$9*'Parametros Generales'!$C$6</f>
        <v>10037014.142000001</v>
      </c>
      <c r="X1052" s="32">
        <f>(+VLOOKUP(C1052,'Transporte y Viaticos'!$B$87:$L$120,2,0)*'Parametros Generales'!$C$7*R1052)*(2/3)</f>
        <v>1848685.574601969</v>
      </c>
      <c r="Y1052" s="417"/>
      <c r="Z1052" s="417"/>
      <c r="AA1052" s="417"/>
      <c r="AB1052" s="417">
        <f>+M1052*'Parametros Generales'!$C$6*'Parametros Generales'!$J$9</f>
        <v>3895272.7272727285</v>
      </c>
      <c r="AC1052" s="417">
        <f>+H1052*'Parametros Generales'!$J$10*'Parametros Generales'!$C$6*'Parametros Generales'!$C$11</f>
        <v>14738498.767401624</v>
      </c>
      <c r="AD1052" s="417"/>
      <c r="AE1052" s="417"/>
      <c r="AF1052" s="417"/>
      <c r="AG1052" s="417"/>
      <c r="AH1052" s="417"/>
      <c r="AI1052" s="417"/>
      <c r="AJ1052" s="417"/>
      <c r="AK1052" s="436"/>
      <c r="AL1052" s="822"/>
    </row>
    <row r="1053" spans="1:38" s="33" customFormat="1" hidden="1" outlineLevel="1">
      <c r="A1053" s="1150"/>
      <c r="B1053" s="821">
        <v>76</v>
      </c>
      <c r="C1053" s="371" t="s">
        <v>657</v>
      </c>
      <c r="D1053" s="31">
        <f>+VLOOKUP(E1053,Codigos!$A$1:$B$1123,2,0)</f>
        <v>76246</v>
      </c>
      <c r="E1053" s="1111" t="s">
        <v>2246</v>
      </c>
      <c r="F1053" s="1103">
        <v>1</v>
      </c>
      <c r="G1053" s="30">
        <v>198</v>
      </c>
      <c r="H1053" s="1061">
        <f>CEILING(G1053,'Parametros Generales'!$C$8)</f>
        <v>200</v>
      </c>
      <c r="I1053" s="1057" t="s">
        <v>672</v>
      </c>
      <c r="J1053" s="1058">
        <v>200</v>
      </c>
      <c r="K1053" s="1070" t="str">
        <f t="shared" si="84"/>
        <v>Ok</v>
      </c>
      <c r="L1053" s="1077">
        <f t="shared" si="85"/>
        <v>0</v>
      </c>
      <c r="M1053" s="1090">
        <f>+H1053/'Parametros Generales'!$C$8</f>
        <v>8</v>
      </c>
      <c r="N1053" s="1097"/>
      <c r="O1053" s="1097"/>
      <c r="P1053" s="1097"/>
      <c r="Q1053" s="1097"/>
      <c r="R1053" s="1097">
        <f>+(M1053/'Parametros Generales'!$C$9)</f>
        <v>2</v>
      </c>
      <c r="S1053" s="390"/>
      <c r="T1053" s="390"/>
      <c r="U1053" s="390"/>
      <c r="V1053" s="389"/>
      <c r="W1053" s="32">
        <f>+R1053*'Componentes T.H.'!$Q$9*'Parametros Generales'!$C$6</f>
        <v>10037014.142000001</v>
      </c>
      <c r="X1053" s="32">
        <f>(+VLOOKUP(C1053,'Transporte y Viaticos'!$B$87:$L$120,2,0)*'Parametros Generales'!$C$7*R1053)*(2/3)</f>
        <v>1848685.574601969</v>
      </c>
      <c r="Y1053" s="417"/>
      <c r="Z1053" s="417"/>
      <c r="AA1053" s="417"/>
      <c r="AB1053" s="417">
        <f>+M1053*'Parametros Generales'!$C$6*'Parametros Generales'!$J$9</f>
        <v>3895272.7272727285</v>
      </c>
      <c r="AC1053" s="417">
        <f>+H1053*'Parametros Generales'!$J$10*'Parametros Generales'!$C$6*'Parametros Generales'!$C$11</f>
        <v>14738498.767401624</v>
      </c>
      <c r="AD1053" s="417"/>
      <c r="AE1053" s="417"/>
      <c r="AF1053" s="417"/>
      <c r="AG1053" s="417"/>
      <c r="AH1053" s="417"/>
      <c r="AI1053" s="417"/>
      <c r="AJ1053" s="417"/>
      <c r="AK1053" s="436"/>
      <c r="AL1053" s="822"/>
    </row>
    <row r="1054" spans="1:38" s="33" customFormat="1" hidden="1" outlineLevel="1">
      <c r="A1054" s="1150"/>
      <c r="B1054" s="821">
        <v>76</v>
      </c>
      <c r="C1054" s="371" t="s">
        <v>657</v>
      </c>
      <c r="D1054" s="31">
        <f>+VLOOKUP(E1054,Codigos!$A$1:$B$1123,2,0)</f>
        <v>76248</v>
      </c>
      <c r="E1054" s="1111" t="s">
        <v>2247</v>
      </c>
      <c r="F1054" s="1103">
        <v>1</v>
      </c>
      <c r="G1054" s="30">
        <v>198</v>
      </c>
      <c r="H1054" s="1061">
        <f>CEILING(G1054,'Parametros Generales'!$C$8)</f>
        <v>200</v>
      </c>
      <c r="I1054" s="1057" t="s">
        <v>673</v>
      </c>
      <c r="J1054" s="1058">
        <v>200</v>
      </c>
      <c r="K1054" s="1070" t="str">
        <f t="shared" si="84"/>
        <v>Ok</v>
      </c>
      <c r="L1054" s="1077">
        <f t="shared" si="85"/>
        <v>0</v>
      </c>
      <c r="M1054" s="1090">
        <f>+H1054/'Parametros Generales'!$C$8</f>
        <v>8</v>
      </c>
      <c r="N1054" s="1097"/>
      <c r="O1054" s="1097"/>
      <c r="P1054" s="1097"/>
      <c r="Q1054" s="1097"/>
      <c r="R1054" s="1097">
        <f>+(M1054/'Parametros Generales'!$C$9)</f>
        <v>2</v>
      </c>
      <c r="S1054" s="390"/>
      <c r="T1054" s="390"/>
      <c r="U1054" s="390"/>
      <c r="V1054" s="389"/>
      <c r="W1054" s="32">
        <f>+R1054*'Componentes T.H.'!$Q$9*'Parametros Generales'!$C$6</f>
        <v>10037014.142000001</v>
      </c>
      <c r="X1054" s="32">
        <f>(+VLOOKUP(C1054,'Transporte y Viaticos'!$B$87:$L$120,2,0)*'Parametros Generales'!$C$7*R1054)*(2/3)</f>
        <v>1848685.574601969</v>
      </c>
      <c r="Y1054" s="417"/>
      <c r="Z1054" s="417"/>
      <c r="AA1054" s="417"/>
      <c r="AB1054" s="417">
        <f>+M1054*'Parametros Generales'!$C$6*'Parametros Generales'!$J$9</f>
        <v>3895272.7272727285</v>
      </c>
      <c r="AC1054" s="417">
        <f>+H1054*'Parametros Generales'!$J$10*'Parametros Generales'!$C$6*'Parametros Generales'!$C$11</f>
        <v>14738498.767401624</v>
      </c>
      <c r="AD1054" s="417"/>
      <c r="AE1054" s="417"/>
      <c r="AF1054" s="417"/>
      <c r="AG1054" s="417"/>
      <c r="AH1054" s="417"/>
      <c r="AI1054" s="417"/>
      <c r="AJ1054" s="417"/>
      <c r="AK1054" s="436"/>
      <c r="AL1054" s="822"/>
    </row>
    <row r="1055" spans="1:38" s="33" customFormat="1" hidden="1" outlineLevel="1">
      <c r="A1055" s="1150"/>
      <c r="B1055" s="821">
        <v>76</v>
      </c>
      <c r="C1055" s="371" t="s">
        <v>657</v>
      </c>
      <c r="D1055" s="31">
        <f>+VLOOKUP(E1055,Codigos!$A$1:$B$1123,2,0)</f>
        <v>76250</v>
      </c>
      <c r="E1055" s="1111" t="s">
        <v>2248</v>
      </c>
      <c r="F1055" s="1103">
        <v>1</v>
      </c>
      <c r="G1055" s="30">
        <v>198</v>
      </c>
      <c r="H1055" s="1061">
        <f>CEILING(G1055,'Parametros Generales'!$C$8)</f>
        <v>200</v>
      </c>
      <c r="I1055" s="1057" t="s">
        <v>674</v>
      </c>
      <c r="J1055" s="1058">
        <v>200</v>
      </c>
      <c r="K1055" s="1070" t="str">
        <f t="shared" si="84"/>
        <v>Ok</v>
      </c>
      <c r="L1055" s="1077">
        <f t="shared" si="85"/>
        <v>0</v>
      </c>
      <c r="M1055" s="1090">
        <f>+H1055/'Parametros Generales'!$C$8</f>
        <v>8</v>
      </c>
      <c r="N1055" s="1097"/>
      <c r="O1055" s="1097"/>
      <c r="P1055" s="1097"/>
      <c r="Q1055" s="1097"/>
      <c r="R1055" s="1097">
        <f>+(M1055/'Parametros Generales'!$C$9)</f>
        <v>2</v>
      </c>
      <c r="S1055" s="390"/>
      <c r="T1055" s="390"/>
      <c r="U1055" s="390"/>
      <c r="V1055" s="389"/>
      <c r="W1055" s="32">
        <f>+R1055*'Componentes T.H.'!$Q$9*'Parametros Generales'!$C$6</f>
        <v>10037014.142000001</v>
      </c>
      <c r="X1055" s="32">
        <f>(+VLOOKUP(C1055,'Transporte y Viaticos'!$B$87:$L$120,2,0)*'Parametros Generales'!$C$7*R1055)*(2/3)</f>
        <v>1848685.574601969</v>
      </c>
      <c r="Y1055" s="417"/>
      <c r="Z1055" s="417"/>
      <c r="AA1055" s="417"/>
      <c r="AB1055" s="417">
        <f>+M1055*'Parametros Generales'!$C$6*'Parametros Generales'!$J$9</f>
        <v>3895272.7272727285</v>
      </c>
      <c r="AC1055" s="417">
        <f>+H1055*'Parametros Generales'!$J$10*'Parametros Generales'!$C$6*'Parametros Generales'!$C$11</f>
        <v>14738498.767401624</v>
      </c>
      <c r="AD1055" s="417"/>
      <c r="AE1055" s="417"/>
      <c r="AF1055" s="417"/>
      <c r="AG1055" s="417"/>
      <c r="AH1055" s="417"/>
      <c r="AI1055" s="417"/>
      <c r="AJ1055" s="417"/>
      <c r="AK1055" s="436"/>
      <c r="AL1055" s="822"/>
    </row>
    <row r="1056" spans="1:38" s="33" customFormat="1" hidden="1" outlineLevel="1">
      <c r="A1056" s="1150"/>
      <c r="B1056" s="821">
        <v>76</v>
      </c>
      <c r="C1056" s="371" t="s">
        <v>657</v>
      </c>
      <c r="D1056" s="31">
        <f>+VLOOKUP(E1056,Codigos!$A$1:$B$1123,2,0)</f>
        <v>76275</v>
      </c>
      <c r="E1056" s="1111" t="s">
        <v>2249</v>
      </c>
      <c r="F1056" s="1103">
        <v>1</v>
      </c>
      <c r="G1056" s="30">
        <v>198</v>
      </c>
      <c r="H1056" s="1061">
        <f>CEILING(G1056,'Parametros Generales'!$C$8)</f>
        <v>200</v>
      </c>
      <c r="I1056" s="1057" t="s">
        <v>675</v>
      </c>
      <c r="J1056" s="1058">
        <v>200</v>
      </c>
      <c r="K1056" s="1070" t="str">
        <f t="shared" si="84"/>
        <v>Ok</v>
      </c>
      <c r="L1056" s="1077">
        <f t="shared" si="85"/>
        <v>0</v>
      </c>
      <c r="M1056" s="1090">
        <f>+H1056/'Parametros Generales'!$C$8</f>
        <v>8</v>
      </c>
      <c r="N1056" s="1097"/>
      <c r="O1056" s="1097"/>
      <c r="P1056" s="1097"/>
      <c r="Q1056" s="1097"/>
      <c r="R1056" s="1097">
        <f>+(M1056/'Parametros Generales'!$C$9)</f>
        <v>2</v>
      </c>
      <c r="S1056" s="390"/>
      <c r="T1056" s="390"/>
      <c r="U1056" s="390"/>
      <c r="V1056" s="389"/>
      <c r="W1056" s="32">
        <f>+R1056*'Componentes T.H.'!$Q$9*'Parametros Generales'!$C$6</f>
        <v>10037014.142000001</v>
      </c>
      <c r="X1056" s="32">
        <f>(+VLOOKUP(C1056,'Transporte y Viaticos'!$B$87:$L$120,2,0)*'Parametros Generales'!$C$7*R1056)*(2/3)</f>
        <v>1848685.574601969</v>
      </c>
      <c r="Y1056" s="417"/>
      <c r="Z1056" s="417"/>
      <c r="AA1056" s="417"/>
      <c r="AB1056" s="417">
        <f>+M1056*'Parametros Generales'!$C$6*'Parametros Generales'!$J$9</f>
        <v>3895272.7272727285</v>
      </c>
      <c r="AC1056" s="417">
        <f>+H1056*'Parametros Generales'!$J$10*'Parametros Generales'!$C$6*'Parametros Generales'!$C$11</f>
        <v>14738498.767401624</v>
      </c>
      <c r="AD1056" s="417"/>
      <c r="AE1056" s="417"/>
      <c r="AF1056" s="417"/>
      <c r="AG1056" s="417"/>
      <c r="AH1056" s="417"/>
      <c r="AI1056" s="417"/>
      <c r="AJ1056" s="417"/>
      <c r="AK1056" s="436"/>
      <c r="AL1056" s="822"/>
    </row>
    <row r="1057" spans="1:38" s="33" customFormat="1" hidden="1" outlineLevel="1">
      <c r="A1057" s="1150"/>
      <c r="B1057" s="821">
        <v>76</v>
      </c>
      <c r="C1057" s="371" t="s">
        <v>657</v>
      </c>
      <c r="D1057" s="31">
        <f>+VLOOKUP(E1057,Codigos!$A$1:$B$1123,2,0)</f>
        <v>76306</v>
      </c>
      <c r="E1057" s="1111" t="s">
        <v>2250</v>
      </c>
      <c r="F1057" s="1103">
        <v>1</v>
      </c>
      <c r="G1057" s="30">
        <v>198</v>
      </c>
      <c r="H1057" s="1061">
        <f>CEILING(G1057,'Parametros Generales'!$C$8)</f>
        <v>200</v>
      </c>
      <c r="I1057" s="1057" t="s">
        <v>676</v>
      </c>
      <c r="J1057" s="1058">
        <v>200</v>
      </c>
      <c r="K1057" s="1070" t="str">
        <f t="shared" si="84"/>
        <v>Ok</v>
      </c>
      <c r="L1057" s="1077">
        <f t="shared" si="85"/>
        <v>0</v>
      </c>
      <c r="M1057" s="1090">
        <f>+H1057/'Parametros Generales'!$C$8</f>
        <v>8</v>
      </c>
      <c r="N1057" s="1097"/>
      <c r="O1057" s="1097"/>
      <c r="P1057" s="1097"/>
      <c r="Q1057" s="1097"/>
      <c r="R1057" s="1097">
        <f>+(M1057/'Parametros Generales'!$C$9)</f>
        <v>2</v>
      </c>
      <c r="S1057" s="390"/>
      <c r="T1057" s="390"/>
      <c r="U1057" s="390"/>
      <c r="V1057" s="389"/>
      <c r="W1057" s="32">
        <f>+R1057*'Componentes T.H.'!$Q$9*'Parametros Generales'!$C$6</f>
        <v>10037014.142000001</v>
      </c>
      <c r="X1057" s="32">
        <f>(+VLOOKUP(C1057,'Transporte y Viaticos'!$B$87:$L$120,2,0)*'Parametros Generales'!$C$7*R1057)*(2/3)</f>
        <v>1848685.574601969</v>
      </c>
      <c r="Y1057" s="417"/>
      <c r="Z1057" s="417"/>
      <c r="AA1057" s="417"/>
      <c r="AB1057" s="417">
        <f>+M1057*'Parametros Generales'!$C$6*'Parametros Generales'!$J$9</f>
        <v>3895272.7272727285</v>
      </c>
      <c r="AC1057" s="417">
        <f>+H1057*'Parametros Generales'!$J$10*'Parametros Generales'!$C$6*'Parametros Generales'!$C$11</f>
        <v>14738498.767401624</v>
      </c>
      <c r="AD1057" s="417"/>
      <c r="AE1057" s="417"/>
      <c r="AF1057" s="417"/>
      <c r="AG1057" s="417"/>
      <c r="AH1057" s="417"/>
      <c r="AI1057" s="417"/>
      <c r="AJ1057" s="417"/>
      <c r="AK1057" s="436"/>
      <c r="AL1057" s="822"/>
    </row>
    <row r="1058" spans="1:38" s="33" customFormat="1" hidden="1" outlineLevel="1">
      <c r="A1058" s="1150"/>
      <c r="B1058" s="821">
        <v>76</v>
      </c>
      <c r="C1058" s="371" t="s">
        <v>657</v>
      </c>
      <c r="D1058" s="31">
        <f>+VLOOKUP(E1058,Codigos!$A$1:$B$1123,2,0)</f>
        <v>76318</v>
      </c>
      <c r="E1058" s="1111" t="s">
        <v>2251</v>
      </c>
      <c r="F1058" s="1103">
        <v>1</v>
      </c>
      <c r="G1058" s="30">
        <v>198</v>
      </c>
      <c r="H1058" s="1061">
        <f>CEILING((G1058-50),'Parametros Generales'!$C$8)</f>
        <v>150</v>
      </c>
      <c r="I1058" s="1057" t="s">
        <v>677</v>
      </c>
      <c r="J1058" s="1058">
        <v>150</v>
      </c>
      <c r="K1058" s="1070" t="str">
        <f t="shared" si="84"/>
        <v>Ok</v>
      </c>
      <c r="L1058" s="1077">
        <f t="shared" si="85"/>
        <v>0</v>
      </c>
      <c r="M1058" s="1090">
        <f>+H1058/'Parametros Generales'!$C$8</f>
        <v>6</v>
      </c>
      <c r="N1058" s="1097"/>
      <c r="O1058" s="1097"/>
      <c r="P1058" s="1097"/>
      <c r="Q1058" s="1097"/>
      <c r="R1058" s="1097">
        <f>+(M1058/'Parametros Generales'!$C$9)</f>
        <v>1.5</v>
      </c>
      <c r="S1058" s="390"/>
      <c r="T1058" s="390"/>
      <c r="U1058" s="390"/>
      <c r="V1058" s="389"/>
      <c r="W1058" s="32">
        <f>+R1058*'Componentes T.H.'!$Q$9*'Parametros Generales'!$C$6</f>
        <v>7527760.6064999998</v>
      </c>
      <c r="X1058" s="32">
        <f>(+VLOOKUP(C1058,'Transporte y Viaticos'!$B$87:$L$120,2,0)*'Parametros Generales'!$C$7*R1058)*(2/3)</f>
        <v>1386514.1809514766</v>
      </c>
      <c r="Y1058" s="417"/>
      <c r="Z1058" s="417"/>
      <c r="AA1058" s="417"/>
      <c r="AB1058" s="417">
        <f>+M1058*'Parametros Generales'!$C$6*'Parametros Generales'!$J$9</f>
        <v>2921454.5454545463</v>
      </c>
      <c r="AC1058" s="417">
        <f>+H1058*'Parametros Generales'!$J$10*'Parametros Generales'!$C$6*'Parametros Generales'!$C$11</f>
        <v>11053874.075551221</v>
      </c>
      <c r="AD1058" s="417"/>
      <c r="AE1058" s="417"/>
      <c r="AF1058" s="417"/>
      <c r="AG1058" s="417"/>
      <c r="AH1058" s="417"/>
      <c r="AI1058" s="417"/>
      <c r="AJ1058" s="417"/>
      <c r="AK1058" s="436"/>
      <c r="AL1058" s="822"/>
    </row>
    <row r="1059" spans="1:38" s="33" customFormat="1" hidden="1" outlineLevel="1">
      <c r="A1059" s="1150"/>
      <c r="B1059" s="821">
        <v>76</v>
      </c>
      <c r="C1059" s="371" t="s">
        <v>657</v>
      </c>
      <c r="D1059" s="31">
        <f>+VLOOKUP(E1059,Codigos!$A$1:$B$1123,2,0)</f>
        <v>76111</v>
      </c>
      <c r="E1059" s="1111" t="s">
        <v>2252</v>
      </c>
      <c r="F1059" s="1103">
        <v>1</v>
      </c>
      <c r="G1059" s="30">
        <v>396</v>
      </c>
      <c r="H1059" s="1061">
        <f>CEILING((G1059-100),'Parametros Generales'!$C$8)</f>
        <v>300</v>
      </c>
      <c r="I1059" s="1057" t="s">
        <v>678</v>
      </c>
      <c r="J1059" s="1058">
        <v>300</v>
      </c>
      <c r="K1059" s="1070" t="str">
        <f t="shared" si="84"/>
        <v>Ok</v>
      </c>
      <c r="L1059" s="1077">
        <f t="shared" si="85"/>
        <v>0</v>
      </c>
      <c r="M1059" s="1090">
        <f>+H1059/'Parametros Generales'!$C$8</f>
        <v>12</v>
      </c>
      <c r="N1059" s="1097"/>
      <c r="O1059" s="1097"/>
      <c r="P1059" s="1097"/>
      <c r="Q1059" s="1097"/>
      <c r="R1059" s="1097">
        <f>+(M1059/'Parametros Generales'!$C$9)</f>
        <v>3</v>
      </c>
      <c r="S1059" s="390"/>
      <c r="T1059" s="390"/>
      <c r="U1059" s="390"/>
      <c r="V1059" s="389"/>
      <c r="W1059" s="32">
        <f>+R1059*'Componentes T.H.'!$Q$9*'Parametros Generales'!$C$6</f>
        <v>15055521.213</v>
      </c>
      <c r="X1059" s="32">
        <f>(+VLOOKUP(C1059,'Transporte y Viaticos'!$B$87:$L$120,2,0)*'Parametros Generales'!$C$7*R1059)*(2/3)</f>
        <v>2773028.3619029531</v>
      </c>
      <c r="Y1059" s="417"/>
      <c r="Z1059" s="417"/>
      <c r="AA1059" s="417"/>
      <c r="AB1059" s="417">
        <f>+M1059*'Parametros Generales'!$C$6*'Parametros Generales'!$J$9</f>
        <v>5842909.0909090927</v>
      </c>
      <c r="AC1059" s="417">
        <f>+H1059*'Parametros Generales'!$J$10*'Parametros Generales'!$C$6*'Parametros Generales'!$C$11</f>
        <v>22107748.151102442</v>
      </c>
      <c r="AD1059" s="417"/>
      <c r="AE1059" s="417"/>
      <c r="AF1059" s="417"/>
      <c r="AG1059" s="417"/>
      <c r="AH1059" s="417"/>
      <c r="AI1059" s="417"/>
      <c r="AJ1059" s="417"/>
      <c r="AK1059" s="436"/>
      <c r="AL1059" s="822"/>
    </row>
    <row r="1060" spans="1:38" s="33" customFormat="1" hidden="1" outlineLevel="1">
      <c r="A1060" s="1150"/>
      <c r="B1060" s="821">
        <v>76</v>
      </c>
      <c r="C1060" s="371" t="s">
        <v>657</v>
      </c>
      <c r="D1060" s="31">
        <f>+VLOOKUP(E1060,Codigos!$A$1:$B$1123,2,0)</f>
        <v>76364</v>
      </c>
      <c r="E1060" s="1111" t="s">
        <v>2253</v>
      </c>
      <c r="F1060" s="1103">
        <v>1</v>
      </c>
      <c r="G1060" s="30">
        <v>396</v>
      </c>
      <c r="H1060" s="1061">
        <f>CEILING(G1060,'Parametros Generales'!$C$8)</f>
        <v>400</v>
      </c>
      <c r="I1060" s="1057" t="s">
        <v>679</v>
      </c>
      <c r="J1060" s="1058">
        <v>400</v>
      </c>
      <c r="K1060" s="1070" t="str">
        <f t="shared" si="84"/>
        <v>Ok</v>
      </c>
      <c r="L1060" s="1077">
        <f t="shared" si="85"/>
        <v>0</v>
      </c>
      <c r="M1060" s="1090">
        <f>+H1060/'Parametros Generales'!$C$8</f>
        <v>16</v>
      </c>
      <c r="N1060" s="1097"/>
      <c r="O1060" s="1097"/>
      <c r="P1060" s="1097"/>
      <c r="Q1060" s="1097"/>
      <c r="R1060" s="1097">
        <f>+(M1060/'Parametros Generales'!$C$9)</f>
        <v>4</v>
      </c>
      <c r="S1060" s="390"/>
      <c r="T1060" s="390"/>
      <c r="U1060" s="390"/>
      <c r="V1060" s="389"/>
      <c r="W1060" s="32">
        <f>+R1060*'Componentes T.H.'!$Q$9*'Parametros Generales'!$C$6</f>
        <v>20074028.284000002</v>
      </c>
      <c r="X1060" s="32">
        <f>(+VLOOKUP(C1060,'Transporte y Viaticos'!$B$87:$L$120,2,0)*'Parametros Generales'!$C$7*R1060)*(2/3)</f>
        <v>3697371.149203938</v>
      </c>
      <c r="Y1060" s="417"/>
      <c r="Z1060" s="417"/>
      <c r="AA1060" s="417"/>
      <c r="AB1060" s="417">
        <f>+M1060*'Parametros Generales'!$C$6*'Parametros Generales'!$J$9</f>
        <v>7790545.4545454569</v>
      </c>
      <c r="AC1060" s="417">
        <f>+H1060*'Parametros Generales'!$J$10*'Parametros Generales'!$C$6*'Parametros Generales'!$C$11</f>
        <v>29476997.534803249</v>
      </c>
      <c r="AD1060" s="417"/>
      <c r="AE1060" s="417"/>
      <c r="AF1060" s="417"/>
      <c r="AG1060" s="417"/>
      <c r="AH1060" s="417"/>
      <c r="AI1060" s="417"/>
      <c r="AJ1060" s="417"/>
      <c r="AK1060" s="436"/>
      <c r="AL1060" s="822"/>
    </row>
    <row r="1061" spans="1:38" s="33" customFormat="1" hidden="1" outlineLevel="1">
      <c r="A1061" s="1150"/>
      <c r="B1061" s="821">
        <v>76</v>
      </c>
      <c r="C1061" s="371" t="s">
        <v>657</v>
      </c>
      <c r="D1061" s="31">
        <f>+VLOOKUP(E1061,Codigos!$A$1:$B$1123,2,0)</f>
        <v>76377</v>
      </c>
      <c r="E1061" s="1111" t="s">
        <v>2254</v>
      </c>
      <c r="F1061" s="1103">
        <v>1</v>
      </c>
      <c r="G1061" s="30">
        <v>198</v>
      </c>
      <c r="H1061" s="1061">
        <f>CEILING(G1061,'Parametros Generales'!$C$8)</f>
        <v>200</v>
      </c>
      <c r="I1061" s="1057" t="s">
        <v>680</v>
      </c>
      <c r="J1061" s="1058">
        <v>200</v>
      </c>
      <c r="K1061" s="1070" t="str">
        <f t="shared" si="84"/>
        <v>Ok</v>
      </c>
      <c r="L1061" s="1077">
        <f t="shared" si="85"/>
        <v>0</v>
      </c>
      <c r="M1061" s="1090">
        <f>+H1061/'Parametros Generales'!$C$8</f>
        <v>8</v>
      </c>
      <c r="N1061" s="1097"/>
      <c r="O1061" s="1097"/>
      <c r="P1061" s="1097"/>
      <c r="Q1061" s="1097"/>
      <c r="R1061" s="1097">
        <f>+(M1061/'Parametros Generales'!$C$9)</f>
        <v>2</v>
      </c>
      <c r="S1061" s="390"/>
      <c r="T1061" s="390"/>
      <c r="U1061" s="390"/>
      <c r="V1061" s="389"/>
      <c r="W1061" s="32">
        <f>+R1061*'Componentes T.H.'!$Q$9*'Parametros Generales'!$C$6</f>
        <v>10037014.142000001</v>
      </c>
      <c r="X1061" s="32">
        <f>(+VLOOKUP(C1061,'Transporte y Viaticos'!$B$87:$L$120,2,0)*'Parametros Generales'!$C$7*R1061)*(2/3)</f>
        <v>1848685.574601969</v>
      </c>
      <c r="Y1061" s="417"/>
      <c r="Z1061" s="417"/>
      <c r="AA1061" s="417"/>
      <c r="AB1061" s="417">
        <f>+M1061*'Parametros Generales'!$C$6*'Parametros Generales'!$J$9</f>
        <v>3895272.7272727285</v>
      </c>
      <c r="AC1061" s="417">
        <f>+H1061*'Parametros Generales'!$J$10*'Parametros Generales'!$C$6*'Parametros Generales'!$C$11</f>
        <v>14738498.767401624</v>
      </c>
      <c r="AD1061" s="417"/>
      <c r="AE1061" s="417"/>
      <c r="AF1061" s="417"/>
      <c r="AG1061" s="417"/>
      <c r="AH1061" s="417"/>
      <c r="AI1061" s="417"/>
      <c r="AJ1061" s="417"/>
      <c r="AK1061" s="436"/>
      <c r="AL1061" s="822"/>
    </row>
    <row r="1062" spans="1:38" s="33" customFormat="1" hidden="1" outlineLevel="1">
      <c r="A1062" s="1150"/>
      <c r="B1062" s="821">
        <v>76</v>
      </c>
      <c r="C1062" s="371" t="s">
        <v>657</v>
      </c>
      <c r="D1062" s="31">
        <f>+VLOOKUP(E1062,Codigos!$A$1:$B$1123,2,0)</f>
        <v>76400</v>
      </c>
      <c r="E1062" s="1111" t="s">
        <v>2255</v>
      </c>
      <c r="F1062" s="1103">
        <v>1</v>
      </c>
      <c r="G1062" s="30">
        <v>198</v>
      </c>
      <c r="H1062" s="1061">
        <f>CEILING(G1062,'Parametros Generales'!$C$8)</f>
        <v>200</v>
      </c>
      <c r="I1062" s="1057" t="s">
        <v>681</v>
      </c>
      <c r="J1062" s="1058">
        <v>200</v>
      </c>
      <c r="K1062" s="1070" t="str">
        <f t="shared" si="84"/>
        <v>Ok</v>
      </c>
      <c r="L1062" s="1077">
        <f t="shared" si="85"/>
        <v>0</v>
      </c>
      <c r="M1062" s="1090">
        <f>+H1062/'Parametros Generales'!$C$8</f>
        <v>8</v>
      </c>
      <c r="N1062" s="1097"/>
      <c r="O1062" s="1097"/>
      <c r="P1062" s="1097"/>
      <c r="Q1062" s="1097"/>
      <c r="R1062" s="1097">
        <f>+(M1062/'Parametros Generales'!$C$9)</f>
        <v>2</v>
      </c>
      <c r="S1062" s="390"/>
      <c r="T1062" s="390"/>
      <c r="U1062" s="390"/>
      <c r="V1062" s="389"/>
      <c r="W1062" s="32">
        <f>+R1062*'Componentes T.H.'!$Q$9*'Parametros Generales'!$C$6</f>
        <v>10037014.142000001</v>
      </c>
      <c r="X1062" s="32">
        <f>(+VLOOKUP(C1062,'Transporte y Viaticos'!$B$87:$L$120,2,0)*'Parametros Generales'!$C$7*R1062)*(2/3)</f>
        <v>1848685.574601969</v>
      </c>
      <c r="Y1062" s="417"/>
      <c r="Z1062" s="417"/>
      <c r="AA1062" s="417"/>
      <c r="AB1062" s="417">
        <f>+M1062*'Parametros Generales'!$C$6*'Parametros Generales'!$J$9</f>
        <v>3895272.7272727285</v>
      </c>
      <c r="AC1062" s="417">
        <f>+H1062*'Parametros Generales'!$J$10*'Parametros Generales'!$C$6*'Parametros Generales'!$C$11</f>
        <v>14738498.767401624</v>
      </c>
      <c r="AD1062" s="417"/>
      <c r="AE1062" s="417"/>
      <c r="AF1062" s="417"/>
      <c r="AG1062" s="417"/>
      <c r="AH1062" s="417"/>
      <c r="AI1062" s="417"/>
      <c r="AJ1062" s="417"/>
      <c r="AK1062" s="436"/>
      <c r="AL1062" s="822"/>
    </row>
    <row r="1063" spans="1:38" s="33" customFormat="1" hidden="1" outlineLevel="1">
      <c r="A1063" s="1150"/>
      <c r="B1063" s="821">
        <v>76</v>
      </c>
      <c r="C1063" s="371" t="s">
        <v>657</v>
      </c>
      <c r="D1063" s="31">
        <f>+VLOOKUP(E1063,Codigos!$A$1:$B$1123,2,0)</f>
        <v>76403</v>
      </c>
      <c r="E1063" s="1111" t="s">
        <v>2256</v>
      </c>
      <c r="F1063" s="1103">
        <v>1</v>
      </c>
      <c r="G1063" s="30">
        <v>198</v>
      </c>
      <c r="H1063" s="1061">
        <f>CEILING((G1063-100),'Parametros Generales'!$C$8)</f>
        <v>100</v>
      </c>
      <c r="I1063" s="1057" t="s">
        <v>682</v>
      </c>
      <c r="J1063" s="1058">
        <v>100</v>
      </c>
      <c r="K1063" s="1070" t="str">
        <f t="shared" si="84"/>
        <v>Ok</v>
      </c>
      <c r="L1063" s="1077">
        <f t="shared" si="85"/>
        <v>0</v>
      </c>
      <c r="M1063" s="1090">
        <f>+H1063/'Parametros Generales'!$C$8</f>
        <v>4</v>
      </c>
      <c r="N1063" s="1097"/>
      <c r="O1063" s="1097"/>
      <c r="P1063" s="1097"/>
      <c r="Q1063" s="1097"/>
      <c r="R1063" s="1097">
        <f>+(M1063/'Parametros Generales'!$C$9)</f>
        <v>1</v>
      </c>
      <c r="S1063" s="390"/>
      <c r="T1063" s="390"/>
      <c r="U1063" s="390"/>
      <c r="V1063" s="389"/>
      <c r="W1063" s="32">
        <f>+R1063*'Componentes T.H.'!$Q$9*'Parametros Generales'!$C$6</f>
        <v>5018507.0710000005</v>
      </c>
      <c r="X1063" s="32">
        <f>(+VLOOKUP(C1063,'Transporte y Viaticos'!$B$87:$L$120,2,0)*'Parametros Generales'!$C$7*R1063)*(2/3)</f>
        <v>924342.78730098449</v>
      </c>
      <c r="Y1063" s="417"/>
      <c r="Z1063" s="417"/>
      <c r="AA1063" s="417"/>
      <c r="AB1063" s="417">
        <f>+M1063*'Parametros Generales'!$C$6*'Parametros Generales'!$J$9</f>
        <v>1947636.3636363642</v>
      </c>
      <c r="AC1063" s="417">
        <f>+H1063*'Parametros Generales'!$J$10*'Parametros Generales'!$C$6*'Parametros Generales'!$C$11</f>
        <v>7369249.3837008122</v>
      </c>
      <c r="AD1063" s="417"/>
      <c r="AE1063" s="417"/>
      <c r="AF1063" s="417"/>
      <c r="AG1063" s="417"/>
      <c r="AH1063" s="417"/>
      <c r="AI1063" s="417"/>
      <c r="AJ1063" s="417"/>
      <c r="AK1063" s="436"/>
      <c r="AL1063" s="822"/>
    </row>
    <row r="1064" spans="1:38" s="33" customFormat="1" hidden="1" outlineLevel="1">
      <c r="A1064" s="1150"/>
      <c r="B1064" s="821">
        <v>76</v>
      </c>
      <c r="C1064" s="371" t="s">
        <v>657</v>
      </c>
      <c r="D1064" s="31">
        <f>+VLOOKUP(E1064,Codigos!$A$1:$B$1123,2,0)</f>
        <v>76497</v>
      </c>
      <c r="E1064" s="1111" t="s">
        <v>2257</v>
      </c>
      <c r="F1064" s="1103">
        <v>1</v>
      </c>
      <c r="G1064" s="30">
        <v>198</v>
      </c>
      <c r="H1064" s="1061">
        <f>CEILING(G1064,'Parametros Generales'!$C$8)</f>
        <v>200</v>
      </c>
      <c r="I1064" s="1057" t="s">
        <v>683</v>
      </c>
      <c r="J1064" s="1058">
        <v>200</v>
      </c>
      <c r="K1064" s="1070" t="str">
        <f t="shared" si="84"/>
        <v>Ok</v>
      </c>
      <c r="L1064" s="1077">
        <f t="shared" si="85"/>
        <v>0</v>
      </c>
      <c r="M1064" s="1090">
        <f>+H1064/'Parametros Generales'!$C$8</f>
        <v>8</v>
      </c>
      <c r="N1064" s="1097"/>
      <c r="O1064" s="1097"/>
      <c r="P1064" s="1097"/>
      <c r="Q1064" s="1097"/>
      <c r="R1064" s="1097">
        <f>+(M1064/'Parametros Generales'!$C$9)</f>
        <v>2</v>
      </c>
      <c r="S1064" s="390"/>
      <c r="T1064" s="390"/>
      <c r="U1064" s="390"/>
      <c r="V1064" s="389"/>
      <c r="W1064" s="32">
        <f>+R1064*'Componentes T.H.'!$Q$9*'Parametros Generales'!$C$6</f>
        <v>10037014.142000001</v>
      </c>
      <c r="X1064" s="32">
        <f>(+VLOOKUP(C1064,'Transporte y Viaticos'!$B$87:$L$120,2,0)*'Parametros Generales'!$C$7*R1064)*(2/3)</f>
        <v>1848685.574601969</v>
      </c>
      <c r="Y1064" s="417"/>
      <c r="Z1064" s="417"/>
      <c r="AA1064" s="417"/>
      <c r="AB1064" s="417">
        <f>+M1064*'Parametros Generales'!$C$6*'Parametros Generales'!$J$9</f>
        <v>3895272.7272727285</v>
      </c>
      <c r="AC1064" s="417">
        <f>+H1064*'Parametros Generales'!$J$10*'Parametros Generales'!$C$6*'Parametros Generales'!$C$11</f>
        <v>14738498.767401624</v>
      </c>
      <c r="AD1064" s="417"/>
      <c r="AE1064" s="417"/>
      <c r="AF1064" s="417"/>
      <c r="AG1064" s="417"/>
      <c r="AH1064" s="417"/>
      <c r="AI1064" s="417"/>
      <c r="AJ1064" s="417"/>
      <c r="AK1064" s="436"/>
      <c r="AL1064" s="822"/>
    </row>
    <row r="1065" spans="1:38" s="33" customFormat="1" hidden="1" outlineLevel="1">
      <c r="A1065" s="1150"/>
      <c r="B1065" s="821">
        <v>76</v>
      </c>
      <c r="C1065" s="371" t="s">
        <v>657</v>
      </c>
      <c r="D1065" s="31">
        <f>+VLOOKUP(E1065,Codigos!$A$1:$B$1123,2,0)</f>
        <v>76520</v>
      </c>
      <c r="E1065" s="1111" t="s">
        <v>2258</v>
      </c>
      <c r="F1065" s="1103">
        <v>1</v>
      </c>
      <c r="G1065" s="30">
        <v>396</v>
      </c>
      <c r="H1065" s="1061">
        <f>CEILING(G1065,'Parametros Generales'!$C$8)</f>
        <v>400</v>
      </c>
      <c r="I1065" s="1057" t="s">
        <v>684</v>
      </c>
      <c r="J1065" s="1058">
        <v>400</v>
      </c>
      <c r="K1065" s="1070" t="str">
        <f t="shared" si="84"/>
        <v>Ok</v>
      </c>
      <c r="L1065" s="1077">
        <f t="shared" si="85"/>
        <v>0</v>
      </c>
      <c r="M1065" s="1090">
        <f>+H1065/'Parametros Generales'!$C$8</f>
        <v>16</v>
      </c>
      <c r="N1065" s="1097"/>
      <c r="O1065" s="1097"/>
      <c r="P1065" s="1097"/>
      <c r="Q1065" s="1097"/>
      <c r="R1065" s="1097">
        <f>+(M1065/'Parametros Generales'!$C$9)</f>
        <v>4</v>
      </c>
      <c r="S1065" s="390"/>
      <c r="T1065" s="390"/>
      <c r="U1065" s="390"/>
      <c r="V1065" s="389"/>
      <c r="W1065" s="32">
        <f>+R1065*'Componentes T.H.'!$Q$9*'Parametros Generales'!$C$6</f>
        <v>20074028.284000002</v>
      </c>
      <c r="X1065" s="32">
        <f>(+VLOOKUP(C1065,'Transporte y Viaticos'!$B$87:$L$120,2,0)*'Parametros Generales'!$C$7*R1065)*(2/3)</f>
        <v>3697371.149203938</v>
      </c>
      <c r="Y1065" s="417"/>
      <c r="Z1065" s="417"/>
      <c r="AA1065" s="417"/>
      <c r="AB1065" s="417">
        <f>+M1065*'Parametros Generales'!$C$6*'Parametros Generales'!$J$9</f>
        <v>7790545.4545454569</v>
      </c>
      <c r="AC1065" s="417">
        <f>+H1065*'Parametros Generales'!$J$10*'Parametros Generales'!$C$6*'Parametros Generales'!$C$11</f>
        <v>29476997.534803249</v>
      </c>
      <c r="AD1065" s="417"/>
      <c r="AE1065" s="417"/>
      <c r="AF1065" s="417"/>
      <c r="AG1065" s="417"/>
      <c r="AH1065" s="417"/>
      <c r="AI1065" s="417"/>
      <c r="AJ1065" s="417"/>
      <c r="AK1065" s="436"/>
      <c r="AL1065" s="822"/>
    </row>
    <row r="1066" spans="1:38" s="33" customFormat="1" hidden="1" outlineLevel="1">
      <c r="A1066" s="1150"/>
      <c r="B1066" s="821">
        <v>76</v>
      </c>
      <c r="C1066" s="371" t="s">
        <v>657</v>
      </c>
      <c r="D1066" s="31">
        <f>+VLOOKUP(E1066,Codigos!$A$1:$B$1123,2,0)</f>
        <v>76563</v>
      </c>
      <c r="E1066" s="1111" t="s">
        <v>2259</v>
      </c>
      <c r="F1066" s="1103">
        <v>1</v>
      </c>
      <c r="G1066" s="30">
        <v>198</v>
      </c>
      <c r="H1066" s="1061">
        <f>CEILING(G1066,'Parametros Generales'!$C$8)</f>
        <v>200</v>
      </c>
      <c r="I1066" s="1057" t="s">
        <v>685</v>
      </c>
      <c r="J1066" s="1058">
        <v>200</v>
      </c>
      <c r="K1066" s="1070" t="str">
        <f t="shared" si="84"/>
        <v>Ok</v>
      </c>
      <c r="L1066" s="1077">
        <f t="shared" si="85"/>
        <v>0</v>
      </c>
      <c r="M1066" s="1090">
        <f>+H1066/'Parametros Generales'!$C$8</f>
        <v>8</v>
      </c>
      <c r="N1066" s="1097"/>
      <c r="O1066" s="1097"/>
      <c r="P1066" s="1097"/>
      <c r="Q1066" s="1097"/>
      <c r="R1066" s="1097">
        <f>+(M1066/'Parametros Generales'!$C$9)</f>
        <v>2</v>
      </c>
      <c r="S1066" s="390"/>
      <c r="T1066" s="390"/>
      <c r="U1066" s="390"/>
      <c r="V1066" s="389"/>
      <c r="W1066" s="32">
        <f>+R1066*'Componentes T.H.'!$Q$9*'Parametros Generales'!$C$6</f>
        <v>10037014.142000001</v>
      </c>
      <c r="X1066" s="32">
        <f>(+VLOOKUP(C1066,'Transporte y Viaticos'!$B$87:$L$120,2,0)*'Parametros Generales'!$C$7*R1066)*(2/3)</f>
        <v>1848685.574601969</v>
      </c>
      <c r="Y1066" s="417"/>
      <c r="Z1066" s="417"/>
      <c r="AA1066" s="417"/>
      <c r="AB1066" s="417">
        <f>+M1066*'Parametros Generales'!$C$6*'Parametros Generales'!$J$9</f>
        <v>3895272.7272727285</v>
      </c>
      <c r="AC1066" s="417">
        <f>+H1066*'Parametros Generales'!$J$10*'Parametros Generales'!$C$6*'Parametros Generales'!$C$11</f>
        <v>14738498.767401624</v>
      </c>
      <c r="AD1066" s="417"/>
      <c r="AE1066" s="417"/>
      <c r="AF1066" s="417"/>
      <c r="AG1066" s="417"/>
      <c r="AH1066" s="417"/>
      <c r="AI1066" s="417"/>
      <c r="AJ1066" s="417"/>
      <c r="AK1066" s="436"/>
      <c r="AL1066" s="822"/>
    </row>
    <row r="1067" spans="1:38" s="33" customFormat="1" hidden="1" outlineLevel="1">
      <c r="A1067" s="1150"/>
      <c r="B1067" s="821">
        <v>76</v>
      </c>
      <c r="C1067" s="371" t="s">
        <v>657</v>
      </c>
      <c r="D1067" s="31">
        <f>+VLOOKUP(E1067,Codigos!$A$1:$B$1123,2,0)</f>
        <v>76606</v>
      </c>
      <c r="E1067" s="1111" t="s">
        <v>2260</v>
      </c>
      <c r="F1067" s="1103">
        <v>1</v>
      </c>
      <c r="G1067" s="30">
        <v>198</v>
      </c>
      <c r="H1067" s="1061">
        <f>CEILING((G1067-100),'Parametros Generales'!$C$8)</f>
        <v>100</v>
      </c>
      <c r="I1067" s="1057" t="s">
        <v>686</v>
      </c>
      <c r="J1067" s="1058">
        <v>100</v>
      </c>
      <c r="K1067" s="1070" t="str">
        <f t="shared" si="84"/>
        <v>Ok</v>
      </c>
      <c r="L1067" s="1077">
        <f t="shared" si="85"/>
        <v>0</v>
      </c>
      <c r="M1067" s="1090">
        <f>+H1067/'Parametros Generales'!$C$8</f>
        <v>4</v>
      </c>
      <c r="N1067" s="1097"/>
      <c r="O1067" s="1097"/>
      <c r="P1067" s="1097"/>
      <c r="Q1067" s="1097"/>
      <c r="R1067" s="1097">
        <f>+(M1067/'Parametros Generales'!$C$9)</f>
        <v>1</v>
      </c>
      <c r="S1067" s="390"/>
      <c r="T1067" s="390"/>
      <c r="U1067" s="390"/>
      <c r="V1067" s="389"/>
      <c r="W1067" s="32">
        <f>+R1067*'Componentes T.H.'!$Q$9*'Parametros Generales'!$C$6</f>
        <v>5018507.0710000005</v>
      </c>
      <c r="X1067" s="32">
        <f>(+VLOOKUP(C1067,'Transporte y Viaticos'!$B$87:$L$120,2,0)*'Parametros Generales'!$C$7*R1067)*(2/3)</f>
        <v>924342.78730098449</v>
      </c>
      <c r="Y1067" s="417"/>
      <c r="Z1067" s="417"/>
      <c r="AA1067" s="417"/>
      <c r="AB1067" s="417">
        <f>+M1067*'Parametros Generales'!$C$6*'Parametros Generales'!$J$9</f>
        <v>1947636.3636363642</v>
      </c>
      <c r="AC1067" s="417">
        <f>+H1067*'Parametros Generales'!$J$10*'Parametros Generales'!$C$6*'Parametros Generales'!$C$11</f>
        <v>7369249.3837008122</v>
      </c>
      <c r="AD1067" s="417"/>
      <c r="AE1067" s="417"/>
      <c r="AF1067" s="417"/>
      <c r="AG1067" s="417"/>
      <c r="AH1067" s="417"/>
      <c r="AI1067" s="417"/>
      <c r="AJ1067" s="417"/>
      <c r="AK1067" s="436"/>
      <c r="AL1067" s="822"/>
    </row>
    <row r="1068" spans="1:38" s="33" customFormat="1" hidden="1" outlineLevel="1">
      <c r="A1068" s="1150"/>
      <c r="B1068" s="821">
        <v>76</v>
      </c>
      <c r="C1068" s="371" t="s">
        <v>657</v>
      </c>
      <c r="D1068" s="31">
        <f>+VLOOKUP(E1068,Codigos!$A$1:$B$1123,2,0)</f>
        <v>76616</v>
      </c>
      <c r="E1068" s="1111" t="s">
        <v>2261</v>
      </c>
      <c r="F1068" s="1103">
        <v>1</v>
      </c>
      <c r="G1068" s="30">
        <v>198</v>
      </c>
      <c r="H1068" s="1061">
        <f>CEILING(G1068,'Parametros Generales'!$C$8)</f>
        <v>200</v>
      </c>
      <c r="I1068" s="1057" t="s">
        <v>687</v>
      </c>
      <c r="J1068" s="1058">
        <v>200</v>
      </c>
      <c r="K1068" s="1070" t="str">
        <f t="shared" si="84"/>
        <v>Ok</v>
      </c>
      <c r="L1068" s="1077">
        <f t="shared" si="85"/>
        <v>0</v>
      </c>
      <c r="M1068" s="1090">
        <f>+H1068/'Parametros Generales'!$C$8</f>
        <v>8</v>
      </c>
      <c r="N1068" s="1097"/>
      <c r="O1068" s="1097"/>
      <c r="P1068" s="1097"/>
      <c r="Q1068" s="1097"/>
      <c r="R1068" s="1097">
        <f>+(M1068/'Parametros Generales'!$C$9)</f>
        <v>2</v>
      </c>
      <c r="S1068" s="390"/>
      <c r="T1068" s="390"/>
      <c r="U1068" s="390"/>
      <c r="V1068" s="389"/>
      <c r="W1068" s="32">
        <f>+R1068*'Componentes T.H.'!$Q$9*'Parametros Generales'!$C$6</f>
        <v>10037014.142000001</v>
      </c>
      <c r="X1068" s="32">
        <f>(+VLOOKUP(C1068,'Transporte y Viaticos'!$B$87:$L$120,2,0)*'Parametros Generales'!$C$7*R1068)*(2/3)</f>
        <v>1848685.574601969</v>
      </c>
      <c r="Y1068" s="417"/>
      <c r="Z1068" s="417"/>
      <c r="AA1068" s="417"/>
      <c r="AB1068" s="417">
        <f>+M1068*'Parametros Generales'!$C$6*'Parametros Generales'!$J$9</f>
        <v>3895272.7272727285</v>
      </c>
      <c r="AC1068" s="417">
        <f>+H1068*'Parametros Generales'!$J$10*'Parametros Generales'!$C$6*'Parametros Generales'!$C$11</f>
        <v>14738498.767401624</v>
      </c>
      <c r="AD1068" s="417"/>
      <c r="AE1068" s="417"/>
      <c r="AF1068" s="417"/>
      <c r="AG1068" s="417"/>
      <c r="AH1068" s="417"/>
      <c r="AI1068" s="417"/>
      <c r="AJ1068" s="417"/>
      <c r="AK1068" s="436"/>
      <c r="AL1068" s="822"/>
    </row>
    <row r="1069" spans="1:38" s="33" customFormat="1" hidden="1" outlineLevel="1">
      <c r="A1069" s="1150"/>
      <c r="B1069" s="821">
        <v>76</v>
      </c>
      <c r="C1069" s="371" t="s">
        <v>657</v>
      </c>
      <c r="D1069" s="31">
        <f>+VLOOKUP(E1069,Codigos!$A$1:$B$1123,2,0)</f>
        <v>76622</v>
      </c>
      <c r="E1069" s="1111" t="s">
        <v>2262</v>
      </c>
      <c r="F1069" s="1103">
        <v>1</v>
      </c>
      <c r="G1069" s="30">
        <v>198</v>
      </c>
      <c r="H1069" s="1061">
        <f>CEILING(G1069,'Parametros Generales'!$C$8)</f>
        <v>200</v>
      </c>
      <c r="I1069" s="1057" t="s">
        <v>688</v>
      </c>
      <c r="J1069" s="1058">
        <v>200</v>
      </c>
      <c r="K1069" s="1070" t="str">
        <f t="shared" si="84"/>
        <v>Ok</v>
      </c>
      <c r="L1069" s="1077">
        <f t="shared" si="85"/>
        <v>0</v>
      </c>
      <c r="M1069" s="1090">
        <f>+H1069/'Parametros Generales'!$C$8</f>
        <v>8</v>
      </c>
      <c r="N1069" s="1097"/>
      <c r="O1069" s="1097"/>
      <c r="P1069" s="1097"/>
      <c r="Q1069" s="1097"/>
      <c r="R1069" s="1097">
        <f>+(M1069/'Parametros Generales'!$C$9)</f>
        <v>2</v>
      </c>
      <c r="S1069" s="390"/>
      <c r="T1069" s="390"/>
      <c r="U1069" s="390"/>
      <c r="V1069" s="389"/>
      <c r="W1069" s="32">
        <f>+R1069*'Componentes T.H.'!$Q$9*'Parametros Generales'!$C$6</f>
        <v>10037014.142000001</v>
      </c>
      <c r="X1069" s="32">
        <f>(+VLOOKUP(C1069,'Transporte y Viaticos'!$B$87:$L$120,2,0)*'Parametros Generales'!$C$7*R1069)*(2/3)</f>
        <v>1848685.574601969</v>
      </c>
      <c r="Y1069" s="417"/>
      <c r="Z1069" s="417"/>
      <c r="AA1069" s="417"/>
      <c r="AB1069" s="417">
        <f>+M1069*'Parametros Generales'!$C$6*'Parametros Generales'!$J$9</f>
        <v>3895272.7272727285</v>
      </c>
      <c r="AC1069" s="417">
        <f>+H1069*'Parametros Generales'!$J$10*'Parametros Generales'!$C$6*'Parametros Generales'!$C$11</f>
        <v>14738498.767401624</v>
      </c>
      <c r="AD1069" s="417"/>
      <c r="AE1069" s="417"/>
      <c r="AF1069" s="417"/>
      <c r="AG1069" s="417"/>
      <c r="AH1069" s="417"/>
      <c r="AI1069" s="417"/>
      <c r="AJ1069" s="417"/>
      <c r="AK1069" s="436"/>
      <c r="AL1069" s="822"/>
    </row>
    <row r="1070" spans="1:38" s="33" customFormat="1" hidden="1" outlineLevel="1">
      <c r="A1070" s="1150"/>
      <c r="B1070" s="821">
        <v>76</v>
      </c>
      <c r="C1070" s="371" t="s">
        <v>657</v>
      </c>
      <c r="D1070" s="31">
        <f>+VLOOKUP(E1070,Codigos!$A$1:$B$1123,2,0)</f>
        <v>76670</v>
      </c>
      <c r="E1070" s="1111" t="s">
        <v>2263</v>
      </c>
      <c r="F1070" s="1103">
        <v>1</v>
      </c>
      <c r="G1070" s="30">
        <v>198</v>
      </c>
      <c r="H1070" s="1061">
        <f>CEILING((G1070-100),'Parametros Generales'!$C$8)</f>
        <v>100</v>
      </c>
      <c r="I1070" s="1057" t="s">
        <v>689</v>
      </c>
      <c r="J1070" s="1058">
        <v>100</v>
      </c>
      <c r="K1070" s="1070" t="str">
        <f t="shared" si="84"/>
        <v>Ok</v>
      </c>
      <c r="L1070" s="1077">
        <f t="shared" si="85"/>
        <v>0</v>
      </c>
      <c r="M1070" s="1090">
        <f>+H1070/'Parametros Generales'!$C$8</f>
        <v>4</v>
      </c>
      <c r="N1070" s="1097"/>
      <c r="O1070" s="1097"/>
      <c r="P1070" s="1097"/>
      <c r="Q1070" s="1097"/>
      <c r="R1070" s="1097">
        <f>+(M1070/'Parametros Generales'!$C$9)</f>
        <v>1</v>
      </c>
      <c r="S1070" s="390"/>
      <c r="T1070" s="390"/>
      <c r="U1070" s="390"/>
      <c r="V1070" s="389"/>
      <c r="W1070" s="32">
        <f>+R1070*'Componentes T.H.'!$Q$9*'Parametros Generales'!$C$6</f>
        <v>5018507.0710000005</v>
      </c>
      <c r="X1070" s="32">
        <f>(+VLOOKUP(C1070,'Transporte y Viaticos'!$B$87:$L$120,2,0)*'Parametros Generales'!$C$7*R1070)*(2/3)</f>
        <v>924342.78730098449</v>
      </c>
      <c r="Y1070" s="417"/>
      <c r="Z1070" s="417"/>
      <c r="AA1070" s="417"/>
      <c r="AB1070" s="417">
        <f>+M1070*'Parametros Generales'!$C$6*'Parametros Generales'!$J$9</f>
        <v>1947636.3636363642</v>
      </c>
      <c r="AC1070" s="417">
        <f>+H1070*'Parametros Generales'!$J$10*'Parametros Generales'!$C$6*'Parametros Generales'!$C$11</f>
        <v>7369249.3837008122</v>
      </c>
      <c r="AD1070" s="417"/>
      <c r="AE1070" s="417"/>
      <c r="AF1070" s="417"/>
      <c r="AG1070" s="417"/>
      <c r="AH1070" s="417"/>
      <c r="AI1070" s="417"/>
      <c r="AJ1070" s="417"/>
      <c r="AK1070" s="436"/>
      <c r="AL1070" s="822"/>
    </row>
    <row r="1071" spans="1:38" s="33" customFormat="1" hidden="1" outlineLevel="1">
      <c r="A1071" s="1150"/>
      <c r="B1071" s="821">
        <v>76</v>
      </c>
      <c r="C1071" s="371" t="s">
        <v>657</v>
      </c>
      <c r="D1071" s="31">
        <f>+VLOOKUP(E1071,Codigos!$A$1:$B$1123,2,0)</f>
        <v>76736</v>
      </c>
      <c r="E1071" s="1111" t="s">
        <v>2264</v>
      </c>
      <c r="F1071" s="1103">
        <v>1</v>
      </c>
      <c r="G1071" s="30">
        <v>198</v>
      </c>
      <c r="H1071" s="1061">
        <f>CEILING(G1071,'Parametros Generales'!$C$8)</f>
        <v>200</v>
      </c>
      <c r="I1071" s="1057" t="s">
        <v>690</v>
      </c>
      <c r="J1071" s="1058">
        <v>200</v>
      </c>
      <c r="K1071" s="1070" t="str">
        <f t="shared" si="84"/>
        <v>Ok</v>
      </c>
      <c r="L1071" s="1077">
        <f t="shared" si="85"/>
        <v>0</v>
      </c>
      <c r="M1071" s="1090">
        <f>+H1071/'Parametros Generales'!$C$8</f>
        <v>8</v>
      </c>
      <c r="N1071" s="1097"/>
      <c r="O1071" s="1097"/>
      <c r="P1071" s="1097"/>
      <c r="Q1071" s="1097"/>
      <c r="R1071" s="1097">
        <f>+(M1071/'Parametros Generales'!$C$9)</f>
        <v>2</v>
      </c>
      <c r="S1071" s="390"/>
      <c r="T1071" s="390"/>
      <c r="U1071" s="390"/>
      <c r="V1071" s="389"/>
      <c r="W1071" s="32">
        <f>+R1071*'Componentes T.H.'!$Q$9*'Parametros Generales'!$C$6</f>
        <v>10037014.142000001</v>
      </c>
      <c r="X1071" s="32">
        <f>(+VLOOKUP(C1071,'Transporte y Viaticos'!$B$87:$L$120,2,0)*'Parametros Generales'!$C$7*R1071)*(2/3)</f>
        <v>1848685.574601969</v>
      </c>
      <c r="Y1071" s="417"/>
      <c r="Z1071" s="417"/>
      <c r="AA1071" s="417"/>
      <c r="AB1071" s="417">
        <f>+M1071*'Parametros Generales'!$C$6*'Parametros Generales'!$J$9</f>
        <v>3895272.7272727285</v>
      </c>
      <c r="AC1071" s="417">
        <f>+H1071*'Parametros Generales'!$J$10*'Parametros Generales'!$C$6*'Parametros Generales'!$C$11</f>
        <v>14738498.767401624</v>
      </c>
      <c r="AD1071" s="417"/>
      <c r="AE1071" s="417"/>
      <c r="AF1071" s="417"/>
      <c r="AG1071" s="417"/>
      <c r="AH1071" s="417"/>
      <c r="AI1071" s="417"/>
      <c r="AJ1071" s="417"/>
      <c r="AK1071" s="436"/>
      <c r="AL1071" s="822"/>
    </row>
    <row r="1072" spans="1:38" s="33" customFormat="1" hidden="1" outlineLevel="1">
      <c r="A1072" s="1150"/>
      <c r="B1072" s="821">
        <v>76</v>
      </c>
      <c r="C1072" s="371" t="s">
        <v>657</v>
      </c>
      <c r="D1072" s="31">
        <f>+VLOOKUP(E1072,Codigos!$A$1:$B$1123,2,0)</f>
        <v>76823</v>
      </c>
      <c r="E1072" s="1111" t="s">
        <v>2265</v>
      </c>
      <c r="F1072" s="1103">
        <v>1</v>
      </c>
      <c r="G1072" s="30">
        <v>198</v>
      </c>
      <c r="H1072" s="1061">
        <f>CEILING(G1072,'Parametros Generales'!$C$8)</f>
        <v>200</v>
      </c>
      <c r="I1072" s="1057" t="s">
        <v>691</v>
      </c>
      <c r="J1072" s="1058">
        <v>200</v>
      </c>
      <c r="K1072" s="1070" t="str">
        <f t="shared" si="84"/>
        <v>Ok</v>
      </c>
      <c r="L1072" s="1077">
        <f t="shared" si="85"/>
        <v>0</v>
      </c>
      <c r="M1072" s="1090">
        <f>+H1072/'Parametros Generales'!$C$8</f>
        <v>8</v>
      </c>
      <c r="N1072" s="1097"/>
      <c r="O1072" s="1097"/>
      <c r="P1072" s="1097"/>
      <c r="Q1072" s="1097"/>
      <c r="R1072" s="1097">
        <f>+(M1072/'Parametros Generales'!$C$9)</f>
        <v>2</v>
      </c>
      <c r="S1072" s="390"/>
      <c r="T1072" s="390"/>
      <c r="U1072" s="390"/>
      <c r="V1072" s="389"/>
      <c r="W1072" s="32">
        <f>+R1072*'Componentes T.H.'!$Q$9*'Parametros Generales'!$C$6</f>
        <v>10037014.142000001</v>
      </c>
      <c r="X1072" s="32">
        <f>(+VLOOKUP(C1072,'Transporte y Viaticos'!$B$87:$L$120,2,0)*'Parametros Generales'!$C$7*R1072)*(2/3)</f>
        <v>1848685.574601969</v>
      </c>
      <c r="Y1072" s="417"/>
      <c r="Z1072" s="417"/>
      <c r="AA1072" s="417"/>
      <c r="AB1072" s="417">
        <f>+M1072*'Parametros Generales'!$C$6*'Parametros Generales'!$J$9</f>
        <v>3895272.7272727285</v>
      </c>
      <c r="AC1072" s="417">
        <f>+H1072*'Parametros Generales'!$J$10*'Parametros Generales'!$C$6*'Parametros Generales'!$C$11</f>
        <v>14738498.767401624</v>
      </c>
      <c r="AD1072" s="417"/>
      <c r="AE1072" s="417"/>
      <c r="AF1072" s="417"/>
      <c r="AG1072" s="417"/>
      <c r="AH1072" s="417"/>
      <c r="AI1072" s="417"/>
      <c r="AJ1072" s="417"/>
      <c r="AK1072" s="436"/>
      <c r="AL1072" s="822"/>
    </row>
    <row r="1073" spans="1:38" s="33" customFormat="1" hidden="1" outlineLevel="1">
      <c r="A1073" s="1150"/>
      <c r="B1073" s="821">
        <v>76</v>
      </c>
      <c r="C1073" s="371" t="s">
        <v>657</v>
      </c>
      <c r="D1073" s="31">
        <f>+VLOOKUP(E1073,Codigos!$A$1:$B$1123,2,0)</f>
        <v>76828</v>
      </c>
      <c r="E1073" s="1111" t="s">
        <v>2266</v>
      </c>
      <c r="F1073" s="1103">
        <v>1</v>
      </c>
      <c r="G1073" s="30">
        <v>396</v>
      </c>
      <c r="H1073" s="1061">
        <f>CEILING(G1073,'Parametros Generales'!$C$8)</f>
        <v>400</v>
      </c>
      <c r="I1073" s="1057" t="s">
        <v>692</v>
      </c>
      <c r="J1073" s="1058">
        <v>400</v>
      </c>
      <c r="K1073" s="1070" t="str">
        <f t="shared" si="84"/>
        <v>Ok</v>
      </c>
      <c r="L1073" s="1077">
        <f t="shared" si="85"/>
        <v>0</v>
      </c>
      <c r="M1073" s="1090">
        <f>+H1073/'Parametros Generales'!$C$8</f>
        <v>16</v>
      </c>
      <c r="N1073" s="1097"/>
      <c r="O1073" s="1097"/>
      <c r="P1073" s="1097"/>
      <c r="Q1073" s="1097"/>
      <c r="R1073" s="1097">
        <f>+(M1073/'Parametros Generales'!$C$9)</f>
        <v>4</v>
      </c>
      <c r="S1073" s="390"/>
      <c r="T1073" s="390"/>
      <c r="U1073" s="390"/>
      <c r="V1073" s="389"/>
      <c r="W1073" s="32">
        <f>+R1073*'Componentes T.H.'!$Q$9*'Parametros Generales'!$C$6</f>
        <v>20074028.284000002</v>
      </c>
      <c r="X1073" s="32">
        <f>(+VLOOKUP(C1073,'Transporte y Viaticos'!$B$87:$L$120,2,0)*'Parametros Generales'!$C$7*R1073)*(2/3)</f>
        <v>3697371.149203938</v>
      </c>
      <c r="Y1073" s="417"/>
      <c r="Z1073" s="417"/>
      <c r="AA1073" s="417"/>
      <c r="AB1073" s="417">
        <f>+M1073*'Parametros Generales'!$C$6*'Parametros Generales'!$J$9</f>
        <v>7790545.4545454569</v>
      </c>
      <c r="AC1073" s="417">
        <f>+H1073*'Parametros Generales'!$J$10*'Parametros Generales'!$C$6*'Parametros Generales'!$C$11</f>
        <v>29476997.534803249</v>
      </c>
      <c r="AD1073" s="417"/>
      <c r="AE1073" s="417"/>
      <c r="AF1073" s="417"/>
      <c r="AG1073" s="417"/>
      <c r="AH1073" s="417"/>
      <c r="AI1073" s="417"/>
      <c r="AJ1073" s="417"/>
      <c r="AK1073" s="436"/>
      <c r="AL1073" s="822"/>
    </row>
    <row r="1074" spans="1:38" s="33" customFormat="1" hidden="1" outlineLevel="1">
      <c r="A1074" s="1150"/>
      <c r="B1074" s="821">
        <v>76</v>
      </c>
      <c r="C1074" s="371" t="s">
        <v>657</v>
      </c>
      <c r="D1074" s="31">
        <f>+VLOOKUP(E1074,Codigos!$A$1:$B$1123,2,0)</f>
        <v>76834</v>
      </c>
      <c r="E1074" s="1111" t="s">
        <v>2267</v>
      </c>
      <c r="F1074" s="1103">
        <v>1</v>
      </c>
      <c r="G1074" s="30">
        <v>396</v>
      </c>
      <c r="H1074" s="1061">
        <f>CEILING((G1074-100),'Parametros Generales'!$C$8)</f>
        <v>300</v>
      </c>
      <c r="I1074" s="1057" t="s">
        <v>693</v>
      </c>
      <c r="J1074" s="1058">
        <v>300</v>
      </c>
      <c r="K1074" s="1070" t="str">
        <f t="shared" si="84"/>
        <v>Ok</v>
      </c>
      <c r="L1074" s="1077">
        <f t="shared" si="85"/>
        <v>0</v>
      </c>
      <c r="M1074" s="1090">
        <f>+H1074/'Parametros Generales'!$C$8</f>
        <v>12</v>
      </c>
      <c r="N1074" s="1097"/>
      <c r="O1074" s="1097"/>
      <c r="P1074" s="1097"/>
      <c r="Q1074" s="1097"/>
      <c r="R1074" s="1097">
        <f>+(M1074/'Parametros Generales'!$C$9)</f>
        <v>3</v>
      </c>
      <c r="S1074" s="390"/>
      <c r="T1074" s="390"/>
      <c r="U1074" s="390"/>
      <c r="V1074" s="389"/>
      <c r="W1074" s="32">
        <f>+R1074*'Componentes T.H.'!$Q$9*'Parametros Generales'!$C$6</f>
        <v>15055521.213</v>
      </c>
      <c r="X1074" s="32">
        <f>(+VLOOKUP(C1074,'Transporte y Viaticos'!$B$87:$L$120,2,0)*'Parametros Generales'!$C$7*R1074)*(2/3)</f>
        <v>2773028.3619029531</v>
      </c>
      <c r="Y1074" s="417"/>
      <c r="Z1074" s="417"/>
      <c r="AA1074" s="417"/>
      <c r="AB1074" s="417">
        <f>+M1074*'Parametros Generales'!$C$6*'Parametros Generales'!$J$9</f>
        <v>5842909.0909090927</v>
      </c>
      <c r="AC1074" s="417">
        <f>+H1074*'Parametros Generales'!$J$10*'Parametros Generales'!$C$6*'Parametros Generales'!$C$11</f>
        <v>22107748.151102442</v>
      </c>
      <c r="AD1074" s="417"/>
      <c r="AE1074" s="417"/>
      <c r="AF1074" s="417"/>
      <c r="AG1074" s="417"/>
      <c r="AH1074" s="417"/>
      <c r="AI1074" s="417"/>
      <c r="AJ1074" s="417"/>
      <c r="AK1074" s="436"/>
      <c r="AL1074" s="822"/>
    </row>
    <row r="1075" spans="1:38" s="33" customFormat="1" hidden="1" outlineLevel="1">
      <c r="A1075" s="1150"/>
      <c r="B1075" s="821">
        <v>76</v>
      </c>
      <c r="C1075" s="371" t="s">
        <v>657</v>
      </c>
      <c r="D1075" s="31">
        <f>+VLOOKUP(E1075,Codigos!$A$1:$B$1123,2,0)</f>
        <v>76845</v>
      </c>
      <c r="E1075" s="1111" t="s">
        <v>2268</v>
      </c>
      <c r="F1075" s="1103">
        <v>1</v>
      </c>
      <c r="G1075" s="30">
        <v>198</v>
      </c>
      <c r="H1075" s="1061">
        <f>CEILING((G1075-50),'Parametros Generales'!$C$8)</f>
        <v>150</v>
      </c>
      <c r="I1075" s="1057" t="s">
        <v>694</v>
      </c>
      <c r="J1075" s="1058">
        <v>150</v>
      </c>
      <c r="K1075" s="1070" t="str">
        <f t="shared" si="84"/>
        <v>Ok</v>
      </c>
      <c r="L1075" s="1077">
        <f t="shared" si="85"/>
        <v>0</v>
      </c>
      <c r="M1075" s="1090">
        <f>+H1075/'Parametros Generales'!$C$8</f>
        <v>6</v>
      </c>
      <c r="N1075" s="1097"/>
      <c r="O1075" s="1097"/>
      <c r="P1075" s="1097"/>
      <c r="Q1075" s="1097"/>
      <c r="R1075" s="1097">
        <f>+(M1075/'Parametros Generales'!$C$9)</f>
        <v>1.5</v>
      </c>
      <c r="S1075" s="390"/>
      <c r="T1075" s="390"/>
      <c r="U1075" s="390"/>
      <c r="V1075" s="389"/>
      <c r="W1075" s="32">
        <f>+R1075*'Componentes T.H.'!$Q$9*'Parametros Generales'!$C$6</f>
        <v>7527760.6064999998</v>
      </c>
      <c r="X1075" s="32">
        <f>(+VLOOKUP(C1075,'Transporte y Viaticos'!$B$87:$L$120,2,0)*'Parametros Generales'!$C$7*R1075)*(2/3)</f>
        <v>1386514.1809514766</v>
      </c>
      <c r="Y1075" s="417"/>
      <c r="Z1075" s="417"/>
      <c r="AA1075" s="417"/>
      <c r="AB1075" s="417">
        <f>+M1075*'Parametros Generales'!$C$6*'Parametros Generales'!$J$9</f>
        <v>2921454.5454545463</v>
      </c>
      <c r="AC1075" s="417">
        <f>+H1075*'Parametros Generales'!$J$10*'Parametros Generales'!$C$6*'Parametros Generales'!$C$11</f>
        <v>11053874.075551221</v>
      </c>
      <c r="AD1075" s="417"/>
      <c r="AE1075" s="417"/>
      <c r="AF1075" s="417"/>
      <c r="AG1075" s="417"/>
      <c r="AH1075" s="417"/>
      <c r="AI1075" s="417"/>
      <c r="AJ1075" s="417"/>
      <c r="AK1075" s="436"/>
      <c r="AL1075" s="822"/>
    </row>
    <row r="1076" spans="1:38" s="33" customFormat="1" hidden="1" outlineLevel="1">
      <c r="A1076" s="1150"/>
      <c r="B1076" s="821">
        <v>76</v>
      </c>
      <c r="C1076" s="371" t="s">
        <v>657</v>
      </c>
      <c r="D1076" s="31">
        <f>+VLOOKUP(E1076,Codigos!$A$1:$B$1123,2,0)</f>
        <v>76863</v>
      </c>
      <c r="E1076" s="1111" t="s">
        <v>2269</v>
      </c>
      <c r="F1076" s="1103">
        <v>1</v>
      </c>
      <c r="G1076" s="30">
        <v>198</v>
      </c>
      <c r="H1076" s="1061">
        <f>CEILING(G1076,'Parametros Generales'!$C$8)</f>
        <v>200</v>
      </c>
      <c r="I1076" s="1057" t="s">
        <v>695</v>
      </c>
      <c r="J1076" s="1058">
        <v>200</v>
      </c>
      <c r="K1076" s="1070" t="str">
        <f t="shared" si="84"/>
        <v>Ok</v>
      </c>
      <c r="L1076" s="1077">
        <f t="shared" si="85"/>
        <v>0</v>
      </c>
      <c r="M1076" s="1090">
        <f>+H1076/'Parametros Generales'!$C$8</f>
        <v>8</v>
      </c>
      <c r="N1076" s="1097"/>
      <c r="O1076" s="1097"/>
      <c r="P1076" s="1097"/>
      <c r="Q1076" s="1097"/>
      <c r="R1076" s="1097">
        <f>+(M1076/'Parametros Generales'!$C$9)</f>
        <v>2</v>
      </c>
      <c r="S1076" s="390"/>
      <c r="T1076" s="390"/>
      <c r="U1076" s="390"/>
      <c r="V1076" s="389"/>
      <c r="W1076" s="32">
        <f>+R1076*'Componentes T.H.'!$Q$9*'Parametros Generales'!$C$6</f>
        <v>10037014.142000001</v>
      </c>
      <c r="X1076" s="32">
        <f>(+VLOOKUP(C1076,'Transporte y Viaticos'!$B$87:$L$120,2,0)*'Parametros Generales'!$C$7*R1076)*(2/3)</f>
        <v>1848685.574601969</v>
      </c>
      <c r="Y1076" s="417"/>
      <c r="Z1076" s="417"/>
      <c r="AA1076" s="417"/>
      <c r="AB1076" s="417">
        <f>+M1076*'Parametros Generales'!$C$6*'Parametros Generales'!$J$9</f>
        <v>3895272.7272727285</v>
      </c>
      <c r="AC1076" s="417">
        <f>+H1076*'Parametros Generales'!$J$10*'Parametros Generales'!$C$6*'Parametros Generales'!$C$11</f>
        <v>14738498.767401624</v>
      </c>
      <c r="AD1076" s="417"/>
      <c r="AE1076" s="417"/>
      <c r="AF1076" s="417"/>
      <c r="AG1076" s="417"/>
      <c r="AH1076" s="417"/>
      <c r="AI1076" s="417"/>
      <c r="AJ1076" s="417"/>
      <c r="AK1076" s="436"/>
      <c r="AL1076" s="822"/>
    </row>
    <row r="1077" spans="1:38" s="33" customFormat="1" hidden="1" outlineLevel="1">
      <c r="A1077" s="1150"/>
      <c r="B1077" s="821">
        <v>76</v>
      </c>
      <c r="C1077" s="371" t="s">
        <v>657</v>
      </c>
      <c r="D1077" s="31">
        <f>+VLOOKUP(E1077,Codigos!$A$1:$B$1123,2,0)</f>
        <v>76869</v>
      </c>
      <c r="E1077" s="1111" t="s">
        <v>2270</v>
      </c>
      <c r="F1077" s="1103">
        <v>1</v>
      </c>
      <c r="G1077" s="30">
        <v>198</v>
      </c>
      <c r="H1077" s="1061">
        <f>CEILING((G1077-50),'Parametros Generales'!$C$8)</f>
        <v>150</v>
      </c>
      <c r="I1077" s="1057" t="s">
        <v>696</v>
      </c>
      <c r="J1077" s="1058">
        <v>150</v>
      </c>
      <c r="K1077" s="1070" t="str">
        <f t="shared" si="84"/>
        <v>Ok</v>
      </c>
      <c r="L1077" s="1077">
        <f t="shared" si="85"/>
        <v>0</v>
      </c>
      <c r="M1077" s="1090">
        <f>+H1077/'Parametros Generales'!$C$8</f>
        <v>6</v>
      </c>
      <c r="N1077" s="1097"/>
      <c r="O1077" s="1097"/>
      <c r="P1077" s="1097"/>
      <c r="Q1077" s="1097"/>
      <c r="R1077" s="1097">
        <f>+(M1077/'Parametros Generales'!$C$9)</f>
        <v>1.5</v>
      </c>
      <c r="S1077" s="390"/>
      <c r="T1077" s="390"/>
      <c r="U1077" s="390"/>
      <c r="V1077" s="389"/>
      <c r="W1077" s="32">
        <f>+R1077*'Componentes T.H.'!$Q$9*'Parametros Generales'!$C$6</f>
        <v>7527760.6064999998</v>
      </c>
      <c r="X1077" s="32">
        <f>(+VLOOKUP(C1077,'Transporte y Viaticos'!$B$87:$L$120,2,0)*'Parametros Generales'!$C$7*R1077)*(2/3)</f>
        <v>1386514.1809514766</v>
      </c>
      <c r="Y1077" s="417"/>
      <c r="Z1077" s="417"/>
      <c r="AA1077" s="417"/>
      <c r="AB1077" s="417">
        <f>+M1077*'Parametros Generales'!$C$6*'Parametros Generales'!$J$9</f>
        <v>2921454.5454545463</v>
      </c>
      <c r="AC1077" s="417">
        <f>+H1077*'Parametros Generales'!$J$10*'Parametros Generales'!$C$6*'Parametros Generales'!$C$11</f>
        <v>11053874.075551221</v>
      </c>
      <c r="AD1077" s="417"/>
      <c r="AE1077" s="417"/>
      <c r="AF1077" s="417"/>
      <c r="AG1077" s="417"/>
      <c r="AH1077" s="417"/>
      <c r="AI1077" s="417"/>
      <c r="AJ1077" s="417"/>
      <c r="AK1077" s="436"/>
      <c r="AL1077" s="822"/>
    </row>
    <row r="1078" spans="1:38" s="33" customFormat="1" hidden="1" outlineLevel="1">
      <c r="A1078" s="1150"/>
      <c r="B1078" s="821">
        <v>76</v>
      </c>
      <c r="C1078" s="371" t="s">
        <v>657</v>
      </c>
      <c r="D1078" s="31">
        <f>+VLOOKUP(E1078,Codigos!$A$1:$B$1123,2,0)</f>
        <v>76890</v>
      </c>
      <c r="E1078" s="1111" t="s">
        <v>2271</v>
      </c>
      <c r="F1078" s="1103">
        <v>1</v>
      </c>
      <c r="G1078" s="30">
        <v>198</v>
      </c>
      <c r="H1078" s="1061">
        <f>CEILING((G1078-100),'Parametros Generales'!$C$8)</f>
        <v>100</v>
      </c>
      <c r="I1078" s="1057" t="s">
        <v>697</v>
      </c>
      <c r="J1078" s="1058">
        <v>100</v>
      </c>
      <c r="K1078" s="1070" t="str">
        <f t="shared" si="84"/>
        <v>Ok</v>
      </c>
      <c r="L1078" s="1077">
        <f t="shared" si="85"/>
        <v>0</v>
      </c>
      <c r="M1078" s="1090">
        <f>+H1078/'Parametros Generales'!$C$8</f>
        <v>4</v>
      </c>
      <c r="N1078" s="1097"/>
      <c r="O1078" s="1097"/>
      <c r="P1078" s="1097"/>
      <c r="Q1078" s="1097"/>
      <c r="R1078" s="1097">
        <f>+(M1078/'Parametros Generales'!$C$9)</f>
        <v>1</v>
      </c>
      <c r="S1078" s="390"/>
      <c r="T1078" s="390"/>
      <c r="U1078" s="390"/>
      <c r="V1078" s="389"/>
      <c r="W1078" s="32">
        <f>+R1078*'Componentes T.H.'!$Q$9*'Parametros Generales'!$C$6</f>
        <v>5018507.0710000005</v>
      </c>
      <c r="X1078" s="32">
        <f>(+VLOOKUP(C1078,'Transporte y Viaticos'!$B$87:$L$120,2,0)*'Parametros Generales'!$C$7*R1078)*(2/3)</f>
        <v>924342.78730098449</v>
      </c>
      <c r="Y1078" s="417"/>
      <c r="Z1078" s="417"/>
      <c r="AA1078" s="417"/>
      <c r="AB1078" s="417">
        <f>+M1078*'Parametros Generales'!$C$6*'Parametros Generales'!$J$9</f>
        <v>1947636.3636363642</v>
      </c>
      <c r="AC1078" s="417">
        <f>+H1078*'Parametros Generales'!$J$10*'Parametros Generales'!$C$6*'Parametros Generales'!$C$11</f>
        <v>7369249.3837008122</v>
      </c>
      <c r="AD1078" s="417"/>
      <c r="AE1078" s="417"/>
      <c r="AF1078" s="417"/>
      <c r="AG1078" s="417"/>
      <c r="AH1078" s="417"/>
      <c r="AI1078" s="417"/>
      <c r="AJ1078" s="417"/>
      <c r="AK1078" s="436"/>
      <c r="AL1078" s="822"/>
    </row>
    <row r="1079" spans="1:38" s="33" customFormat="1" hidden="1" outlineLevel="1">
      <c r="A1079" s="1150"/>
      <c r="B1079" s="821">
        <v>76</v>
      </c>
      <c r="C1079" s="371" t="s">
        <v>657</v>
      </c>
      <c r="D1079" s="31">
        <f>+VLOOKUP(E1079,Codigos!$A$1:$B$1123,2,0)</f>
        <v>76892</v>
      </c>
      <c r="E1079" s="1111" t="s">
        <v>2272</v>
      </c>
      <c r="F1079" s="1103">
        <v>1</v>
      </c>
      <c r="G1079" s="30">
        <v>198</v>
      </c>
      <c r="H1079" s="1061">
        <f>CEILING((G1079-50),'Parametros Generales'!$C$8)</f>
        <v>150</v>
      </c>
      <c r="I1079" s="1057" t="s">
        <v>698</v>
      </c>
      <c r="J1079" s="1058">
        <v>150</v>
      </c>
      <c r="K1079" s="1070" t="str">
        <f t="shared" si="84"/>
        <v>Ok</v>
      </c>
      <c r="L1079" s="1077">
        <f t="shared" si="85"/>
        <v>0</v>
      </c>
      <c r="M1079" s="1090">
        <f>+H1079/'Parametros Generales'!$C$8</f>
        <v>6</v>
      </c>
      <c r="N1079" s="1097"/>
      <c r="O1079" s="1097"/>
      <c r="P1079" s="1097"/>
      <c r="Q1079" s="1097"/>
      <c r="R1079" s="1097">
        <f>+(M1079/'Parametros Generales'!$C$9)</f>
        <v>1.5</v>
      </c>
      <c r="S1079" s="390"/>
      <c r="T1079" s="390"/>
      <c r="U1079" s="390"/>
      <c r="V1079" s="389"/>
      <c r="W1079" s="32">
        <f>+R1079*'Componentes T.H.'!$Q$9*'Parametros Generales'!$C$6</f>
        <v>7527760.6064999998</v>
      </c>
      <c r="X1079" s="32">
        <f>(+VLOOKUP(C1079,'Transporte y Viaticos'!$B$87:$L$120,2,0)*'Parametros Generales'!$C$7*R1079)*(2/3)</f>
        <v>1386514.1809514766</v>
      </c>
      <c r="Y1079" s="417"/>
      <c r="Z1079" s="417"/>
      <c r="AA1079" s="417"/>
      <c r="AB1079" s="417">
        <f>+M1079*'Parametros Generales'!$C$6*'Parametros Generales'!$J$9</f>
        <v>2921454.5454545463</v>
      </c>
      <c r="AC1079" s="417">
        <f>+H1079*'Parametros Generales'!$J$10*'Parametros Generales'!$C$6*'Parametros Generales'!$C$11</f>
        <v>11053874.075551221</v>
      </c>
      <c r="AD1079" s="417"/>
      <c r="AE1079" s="417"/>
      <c r="AF1079" s="417"/>
      <c r="AG1079" s="417"/>
      <c r="AH1079" s="417"/>
      <c r="AI1079" s="417"/>
      <c r="AJ1079" s="417"/>
      <c r="AK1079" s="436"/>
      <c r="AL1079" s="822"/>
    </row>
    <row r="1080" spans="1:38" s="33" customFormat="1" hidden="1" outlineLevel="1">
      <c r="A1080" s="1150"/>
      <c r="B1080" s="823">
        <v>76</v>
      </c>
      <c r="C1080" s="373" t="s">
        <v>657</v>
      </c>
      <c r="D1080" s="374">
        <f>+VLOOKUP(E1080,Codigos!$A$1:$B$1123,2,0)</f>
        <v>76895</v>
      </c>
      <c r="E1080" s="1113" t="s">
        <v>2273</v>
      </c>
      <c r="F1080" s="1104">
        <v>1</v>
      </c>
      <c r="G1080" s="375">
        <v>198</v>
      </c>
      <c r="H1080" s="1062">
        <f>CEILING((G1080-50),'Parametros Generales'!$C$8)</f>
        <v>150</v>
      </c>
      <c r="I1080" s="1057" t="s">
        <v>699</v>
      </c>
      <c r="J1080" s="1058">
        <v>150</v>
      </c>
      <c r="K1080" s="1070" t="str">
        <f t="shared" si="84"/>
        <v>Ok</v>
      </c>
      <c r="L1080" s="1077">
        <f t="shared" si="85"/>
        <v>0</v>
      </c>
      <c r="M1080" s="1091">
        <f>+H1080/'Parametros Generales'!$C$8</f>
        <v>6</v>
      </c>
      <c r="N1080" s="1098"/>
      <c r="O1080" s="1098"/>
      <c r="P1080" s="1098"/>
      <c r="Q1080" s="1098"/>
      <c r="R1080" s="1098">
        <f>+(M1080/'Parametros Generales'!$C$9)</f>
        <v>1.5</v>
      </c>
      <c r="S1080" s="395"/>
      <c r="T1080" s="395"/>
      <c r="U1080" s="395"/>
      <c r="V1080" s="396"/>
      <c r="W1080" s="376">
        <f>+R1080*'Componentes T.H.'!$Q$9*'Parametros Generales'!$C$6</f>
        <v>7527760.6064999998</v>
      </c>
      <c r="X1080" s="376">
        <f>(+VLOOKUP(C1080,'Transporte y Viaticos'!$B$87:$L$120,2,0)*'Parametros Generales'!$C$7*R1080)*(2/3)</f>
        <v>1386514.1809514766</v>
      </c>
      <c r="Y1080" s="417"/>
      <c r="Z1080" s="417"/>
      <c r="AA1080" s="417"/>
      <c r="AB1080" s="417">
        <f>+M1080*'Parametros Generales'!$C$6*'Parametros Generales'!$J$9</f>
        <v>2921454.5454545463</v>
      </c>
      <c r="AC1080" s="417">
        <f>+H1080*'Parametros Generales'!$J$10*'Parametros Generales'!$C$6*'Parametros Generales'!$C$11</f>
        <v>11053874.075551221</v>
      </c>
      <c r="AD1080" s="417"/>
      <c r="AE1080" s="417"/>
      <c r="AF1080" s="417"/>
      <c r="AG1080" s="417"/>
      <c r="AH1080" s="417"/>
      <c r="AI1080" s="417"/>
      <c r="AJ1080" s="417"/>
      <c r="AK1080" s="436"/>
      <c r="AL1080" s="822"/>
    </row>
    <row r="1081" spans="1:38" s="33" customFormat="1" hidden="1" outlineLevel="1">
      <c r="A1081" s="1150"/>
      <c r="B1081" s="823">
        <f t="shared" ref="B1081:B1094" si="86">+B1080</f>
        <v>76</v>
      </c>
      <c r="C1081" s="373" t="str">
        <f t="shared" ref="C1081:C1094" si="87">+C1080</f>
        <v>VALLE DEL CAUCA</v>
      </c>
      <c r="D1081" s="374"/>
      <c r="E1081" s="1113"/>
      <c r="F1081" s="1104"/>
      <c r="G1081" s="375"/>
      <c r="H1081" s="1062"/>
      <c r="I1081" s="1057"/>
      <c r="J1081" s="1058"/>
      <c r="K1081" s="1070" t="str">
        <f t="shared" si="84"/>
        <v>Ok</v>
      </c>
      <c r="L1081" s="1077">
        <f t="shared" si="85"/>
        <v>0</v>
      </c>
      <c r="M1081" s="1091">
        <f>+H1081/'Parametros Generales'!$C$8</f>
        <v>0</v>
      </c>
      <c r="N1081" s="1098"/>
      <c r="O1081" s="1098"/>
      <c r="P1081" s="1098"/>
      <c r="Q1081" s="1098"/>
      <c r="R1081" s="1098">
        <f>+(M1081/'Parametros Generales'!$C$9)</f>
        <v>0</v>
      </c>
      <c r="S1081" s="395"/>
      <c r="T1081" s="395"/>
      <c r="U1081" s="395"/>
      <c r="V1081" s="396"/>
      <c r="W1081" s="376">
        <f>+R1081*'Componentes T.H.'!$Q$9*'Parametros Generales'!$C$6</f>
        <v>0</v>
      </c>
      <c r="X1081" s="376">
        <f>(+VLOOKUP(C1081,'Transporte y Viaticos'!$B$87:$L$120,2,0)*'Parametros Generales'!$C$7*R1081)*(2/3)</f>
        <v>0</v>
      </c>
      <c r="Y1081" s="417"/>
      <c r="Z1081" s="417"/>
      <c r="AA1081" s="417"/>
      <c r="AB1081" s="417">
        <f>+M1081*'Parametros Generales'!$C$6*'Parametros Generales'!$J$9</f>
        <v>0</v>
      </c>
      <c r="AC1081" s="417">
        <f>+H1081*'Parametros Generales'!$J$10*'Parametros Generales'!$C$6*'Parametros Generales'!$C$11</f>
        <v>0</v>
      </c>
      <c r="AD1081" s="417"/>
      <c r="AE1081" s="417"/>
      <c r="AF1081" s="417"/>
      <c r="AG1081" s="417"/>
      <c r="AH1081" s="417"/>
      <c r="AI1081" s="417"/>
      <c r="AJ1081" s="417"/>
      <c r="AK1081" s="436"/>
      <c r="AL1081" s="822"/>
    </row>
    <row r="1082" spans="1:38" s="33" customFormat="1" hidden="1" outlineLevel="1">
      <c r="A1082" s="1150"/>
      <c r="B1082" s="823">
        <f t="shared" si="86"/>
        <v>76</v>
      </c>
      <c r="C1082" s="373" t="str">
        <f t="shared" si="87"/>
        <v>VALLE DEL CAUCA</v>
      </c>
      <c r="D1082" s="374"/>
      <c r="E1082" s="1113"/>
      <c r="F1082" s="1104"/>
      <c r="G1082" s="375"/>
      <c r="H1082" s="1062"/>
      <c r="I1082" s="1057"/>
      <c r="J1082" s="1058"/>
      <c r="K1082" s="1070" t="str">
        <f t="shared" si="84"/>
        <v>Ok</v>
      </c>
      <c r="L1082" s="1077">
        <f t="shared" si="85"/>
        <v>0</v>
      </c>
      <c r="M1082" s="1091">
        <f>+H1082/'Parametros Generales'!$C$8</f>
        <v>0</v>
      </c>
      <c r="N1082" s="1098"/>
      <c r="O1082" s="1098"/>
      <c r="P1082" s="1098"/>
      <c r="Q1082" s="1098"/>
      <c r="R1082" s="1098">
        <f>+(M1082/'Parametros Generales'!$C$9)</f>
        <v>0</v>
      </c>
      <c r="S1082" s="395"/>
      <c r="T1082" s="395"/>
      <c r="U1082" s="395"/>
      <c r="V1082" s="396"/>
      <c r="W1082" s="376">
        <f>+R1082*'Componentes T.H.'!$Q$9*'Parametros Generales'!$C$6</f>
        <v>0</v>
      </c>
      <c r="X1082" s="376">
        <f>(+VLOOKUP(C1082,'Transporte y Viaticos'!$B$87:$L$120,2,0)*'Parametros Generales'!$C$7*R1082)*(2/3)</f>
        <v>0</v>
      </c>
      <c r="Y1082" s="417"/>
      <c r="Z1082" s="417"/>
      <c r="AA1082" s="417"/>
      <c r="AB1082" s="417">
        <f>+M1082*'Parametros Generales'!$C$6*'Parametros Generales'!$J$9</f>
        <v>0</v>
      </c>
      <c r="AC1082" s="417">
        <f>+H1082*'Parametros Generales'!$J$10*'Parametros Generales'!$C$6*'Parametros Generales'!$C$11</f>
        <v>0</v>
      </c>
      <c r="AD1082" s="417"/>
      <c r="AE1082" s="417"/>
      <c r="AF1082" s="417"/>
      <c r="AG1082" s="417"/>
      <c r="AH1082" s="417"/>
      <c r="AI1082" s="417"/>
      <c r="AJ1082" s="417"/>
      <c r="AK1082" s="436"/>
      <c r="AL1082" s="822"/>
    </row>
    <row r="1083" spans="1:38" s="33" customFormat="1" hidden="1" outlineLevel="1">
      <c r="A1083" s="1150"/>
      <c r="B1083" s="823">
        <f t="shared" si="86"/>
        <v>76</v>
      </c>
      <c r="C1083" s="373" t="str">
        <f t="shared" si="87"/>
        <v>VALLE DEL CAUCA</v>
      </c>
      <c r="D1083" s="374"/>
      <c r="E1083" s="1113"/>
      <c r="F1083" s="1104"/>
      <c r="G1083" s="375"/>
      <c r="H1083" s="1062"/>
      <c r="I1083" s="1057"/>
      <c r="J1083" s="1058"/>
      <c r="K1083" s="1070" t="str">
        <f t="shared" si="84"/>
        <v>Ok</v>
      </c>
      <c r="L1083" s="1077">
        <f t="shared" si="85"/>
        <v>0</v>
      </c>
      <c r="M1083" s="1091">
        <f>+H1083/'Parametros Generales'!$C$8</f>
        <v>0</v>
      </c>
      <c r="N1083" s="1098"/>
      <c r="O1083" s="1098"/>
      <c r="P1083" s="1098"/>
      <c r="Q1083" s="1098"/>
      <c r="R1083" s="1098">
        <f>+(M1083/'Parametros Generales'!$C$9)</f>
        <v>0</v>
      </c>
      <c r="S1083" s="395"/>
      <c r="T1083" s="395"/>
      <c r="U1083" s="395"/>
      <c r="V1083" s="396"/>
      <c r="W1083" s="376">
        <f>+R1083*'Componentes T.H.'!$Q$9*'Parametros Generales'!$C$6</f>
        <v>0</v>
      </c>
      <c r="X1083" s="376">
        <f>(+VLOOKUP(C1083,'Transporte y Viaticos'!$B$87:$L$120,2,0)*'Parametros Generales'!$C$7*R1083)*(2/3)</f>
        <v>0</v>
      </c>
      <c r="Y1083" s="417"/>
      <c r="Z1083" s="417"/>
      <c r="AA1083" s="417"/>
      <c r="AB1083" s="417">
        <f>+M1083*'Parametros Generales'!$C$6*'Parametros Generales'!$J$9</f>
        <v>0</v>
      </c>
      <c r="AC1083" s="417">
        <f>+H1083*'Parametros Generales'!$J$10*'Parametros Generales'!$C$6*'Parametros Generales'!$C$11</f>
        <v>0</v>
      </c>
      <c r="AD1083" s="417"/>
      <c r="AE1083" s="417"/>
      <c r="AF1083" s="417"/>
      <c r="AG1083" s="417"/>
      <c r="AH1083" s="417"/>
      <c r="AI1083" s="417"/>
      <c r="AJ1083" s="417"/>
      <c r="AK1083" s="436"/>
      <c r="AL1083" s="822"/>
    </row>
    <row r="1084" spans="1:38" s="33" customFormat="1" hidden="1" outlineLevel="1">
      <c r="A1084" s="1150"/>
      <c r="B1084" s="823">
        <f t="shared" si="86"/>
        <v>76</v>
      </c>
      <c r="C1084" s="373" t="str">
        <f t="shared" si="87"/>
        <v>VALLE DEL CAUCA</v>
      </c>
      <c r="D1084" s="374"/>
      <c r="E1084" s="1113"/>
      <c r="F1084" s="1104"/>
      <c r="G1084" s="375"/>
      <c r="H1084" s="1062"/>
      <c r="I1084" s="1057"/>
      <c r="J1084" s="1058"/>
      <c r="K1084" s="1070" t="str">
        <f t="shared" si="84"/>
        <v>Ok</v>
      </c>
      <c r="L1084" s="1077">
        <f t="shared" si="85"/>
        <v>0</v>
      </c>
      <c r="M1084" s="1091">
        <f>+H1084/'Parametros Generales'!$C$8</f>
        <v>0</v>
      </c>
      <c r="N1084" s="1098"/>
      <c r="O1084" s="1098"/>
      <c r="P1084" s="1098"/>
      <c r="Q1084" s="1098"/>
      <c r="R1084" s="1098">
        <f>+(M1084/'Parametros Generales'!$C$9)</f>
        <v>0</v>
      </c>
      <c r="S1084" s="395"/>
      <c r="T1084" s="395"/>
      <c r="U1084" s="395"/>
      <c r="V1084" s="396"/>
      <c r="W1084" s="376">
        <f>+R1084*'Componentes T.H.'!$Q$9*'Parametros Generales'!$C$6</f>
        <v>0</v>
      </c>
      <c r="X1084" s="376">
        <f>(+VLOOKUP(C1084,'Transporte y Viaticos'!$B$87:$L$120,2,0)*'Parametros Generales'!$C$7*R1084)*(2/3)</f>
        <v>0</v>
      </c>
      <c r="Y1084" s="417"/>
      <c r="Z1084" s="417"/>
      <c r="AA1084" s="417"/>
      <c r="AB1084" s="417">
        <f>+M1084*'Parametros Generales'!$C$6*'Parametros Generales'!$J$9</f>
        <v>0</v>
      </c>
      <c r="AC1084" s="417">
        <f>+H1084*'Parametros Generales'!$J$10*'Parametros Generales'!$C$6*'Parametros Generales'!$C$11</f>
        <v>0</v>
      </c>
      <c r="AD1084" s="417"/>
      <c r="AE1084" s="417"/>
      <c r="AF1084" s="417"/>
      <c r="AG1084" s="417"/>
      <c r="AH1084" s="417"/>
      <c r="AI1084" s="417"/>
      <c r="AJ1084" s="417"/>
      <c r="AK1084" s="436"/>
      <c r="AL1084" s="822"/>
    </row>
    <row r="1085" spans="1:38" s="33" customFormat="1" hidden="1" outlineLevel="1">
      <c r="A1085" s="1150"/>
      <c r="B1085" s="823">
        <f t="shared" si="86"/>
        <v>76</v>
      </c>
      <c r="C1085" s="373" t="str">
        <f t="shared" si="87"/>
        <v>VALLE DEL CAUCA</v>
      </c>
      <c r="D1085" s="374"/>
      <c r="E1085" s="1113"/>
      <c r="F1085" s="1104"/>
      <c r="G1085" s="375"/>
      <c r="H1085" s="1062"/>
      <c r="I1085" s="1057"/>
      <c r="J1085" s="1058"/>
      <c r="K1085" s="1070" t="str">
        <f t="shared" si="84"/>
        <v>Ok</v>
      </c>
      <c r="L1085" s="1077">
        <f t="shared" si="85"/>
        <v>0</v>
      </c>
      <c r="M1085" s="1091">
        <f>+H1085/'Parametros Generales'!$C$8</f>
        <v>0</v>
      </c>
      <c r="N1085" s="1098"/>
      <c r="O1085" s="1098"/>
      <c r="P1085" s="1098"/>
      <c r="Q1085" s="1098"/>
      <c r="R1085" s="1098">
        <f>+(M1085/'Parametros Generales'!$C$9)</f>
        <v>0</v>
      </c>
      <c r="S1085" s="395"/>
      <c r="T1085" s="395"/>
      <c r="U1085" s="395"/>
      <c r="V1085" s="396"/>
      <c r="W1085" s="376">
        <f>+R1085*'Componentes T.H.'!$Q$9*'Parametros Generales'!$C$6</f>
        <v>0</v>
      </c>
      <c r="X1085" s="376">
        <f>(+VLOOKUP(C1085,'Transporte y Viaticos'!$B$87:$L$120,2,0)*'Parametros Generales'!$C$7*R1085)*(2/3)</f>
        <v>0</v>
      </c>
      <c r="Y1085" s="417"/>
      <c r="Z1085" s="417"/>
      <c r="AA1085" s="417"/>
      <c r="AB1085" s="417">
        <f>+M1085*'Parametros Generales'!$C$6*'Parametros Generales'!$J$9</f>
        <v>0</v>
      </c>
      <c r="AC1085" s="417">
        <f>+H1085*'Parametros Generales'!$J$10*'Parametros Generales'!$C$6*'Parametros Generales'!$C$11</f>
        <v>0</v>
      </c>
      <c r="AD1085" s="417"/>
      <c r="AE1085" s="417"/>
      <c r="AF1085" s="417"/>
      <c r="AG1085" s="417"/>
      <c r="AH1085" s="417"/>
      <c r="AI1085" s="417"/>
      <c r="AJ1085" s="417"/>
      <c r="AK1085" s="436"/>
      <c r="AL1085" s="822"/>
    </row>
    <row r="1086" spans="1:38" s="33" customFormat="1" hidden="1" outlineLevel="1">
      <c r="A1086" s="1150"/>
      <c r="B1086" s="823">
        <f t="shared" si="86"/>
        <v>76</v>
      </c>
      <c r="C1086" s="373" t="str">
        <f t="shared" si="87"/>
        <v>VALLE DEL CAUCA</v>
      </c>
      <c r="D1086" s="374"/>
      <c r="E1086" s="1113"/>
      <c r="F1086" s="1104"/>
      <c r="G1086" s="375"/>
      <c r="H1086" s="1062"/>
      <c r="I1086" s="1057"/>
      <c r="J1086" s="1058"/>
      <c r="K1086" s="1070" t="str">
        <f t="shared" si="84"/>
        <v>Ok</v>
      </c>
      <c r="L1086" s="1077">
        <f t="shared" si="85"/>
        <v>0</v>
      </c>
      <c r="M1086" s="1091">
        <f>+H1086/'Parametros Generales'!$C$8</f>
        <v>0</v>
      </c>
      <c r="N1086" s="1098"/>
      <c r="O1086" s="1098"/>
      <c r="P1086" s="1098"/>
      <c r="Q1086" s="1098"/>
      <c r="R1086" s="1098">
        <f>+(M1086/'Parametros Generales'!$C$9)</f>
        <v>0</v>
      </c>
      <c r="S1086" s="395"/>
      <c r="T1086" s="395"/>
      <c r="U1086" s="395"/>
      <c r="V1086" s="396"/>
      <c r="W1086" s="376">
        <f>+R1086*'Componentes T.H.'!$Q$9*'Parametros Generales'!$C$6</f>
        <v>0</v>
      </c>
      <c r="X1086" s="376">
        <f>(+VLOOKUP(C1086,'Transporte y Viaticos'!$B$87:$L$120,2,0)*'Parametros Generales'!$C$7*R1086)*(2/3)</f>
        <v>0</v>
      </c>
      <c r="Y1086" s="417"/>
      <c r="Z1086" s="417"/>
      <c r="AA1086" s="417"/>
      <c r="AB1086" s="417">
        <f>+M1086*'Parametros Generales'!$C$6*'Parametros Generales'!$J$9</f>
        <v>0</v>
      </c>
      <c r="AC1086" s="417">
        <f>+H1086*'Parametros Generales'!$J$10*'Parametros Generales'!$C$6*'Parametros Generales'!$C$11</f>
        <v>0</v>
      </c>
      <c r="AD1086" s="417"/>
      <c r="AE1086" s="417"/>
      <c r="AF1086" s="417"/>
      <c r="AG1086" s="417"/>
      <c r="AH1086" s="417"/>
      <c r="AI1086" s="417"/>
      <c r="AJ1086" s="417"/>
      <c r="AK1086" s="436"/>
      <c r="AL1086" s="822"/>
    </row>
    <row r="1087" spans="1:38" s="33" customFormat="1" hidden="1" outlineLevel="1">
      <c r="A1087" s="1150"/>
      <c r="B1087" s="823">
        <f t="shared" si="86"/>
        <v>76</v>
      </c>
      <c r="C1087" s="373" t="str">
        <f t="shared" si="87"/>
        <v>VALLE DEL CAUCA</v>
      </c>
      <c r="D1087" s="374"/>
      <c r="E1087" s="1113"/>
      <c r="F1087" s="1104"/>
      <c r="G1087" s="375"/>
      <c r="H1087" s="1062"/>
      <c r="I1087" s="1057"/>
      <c r="J1087" s="1058"/>
      <c r="K1087" s="1070" t="str">
        <f t="shared" si="84"/>
        <v>Ok</v>
      </c>
      <c r="L1087" s="1077">
        <f t="shared" si="85"/>
        <v>0</v>
      </c>
      <c r="M1087" s="1091">
        <f>+H1087/'Parametros Generales'!$C$8</f>
        <v>0</v>
      </c>
      <c r="N1087" s="1098"/>
      <c r="O1087" s="1098"/>
      <c r="P1087" s="1098"/>
      <c r="Q1087" s="1098"/>
      <c r="R1087" s="1098">
        <f>+(M1087/'Parametros Generales'!$C$9)</f>
        <v>0</v>
      </c>
      <c r="S1087" s="395"/>
      <c r="T1087" s="395"/>
      <c r="U1087" s="395"/>
      <c r="V1087" s="396"/>
      <c r="W1087" s="376">
        <f>+R1087*'Componentes T.H.'!$Q$9*'Parametros Generales'!$C$6</f>
        <v>0</v>
      </c>
      <c r="X1087" s="376">
        <f>(+VLOOKUP(C1087,'Transporte y Viaticos'!$B$87:$L$120,2,0)*'Parametros Generales'!$C$7*R1087)*(2/3)</f>
        <v>0</v>
      </c>
      <c r="Y1087" s="417"/>
      <c r="Z1087" s="417"/>
      <c r="AA1087" s="417"/>
      <c r="AB1087" s="417">
        <f>+M1087*'Parametros Generales'!$C$6*'Parametros Generales'!$J$9</f>
        <v>0</v>
      </c>
      <c r="AC1087" s="417">
        <f>+H1087*'Parametros Generales'!$J$10*'Parametros Generales'!$C$6*'Parametros Generales'!$C$11</f>
        <v>0</v>
      </c>
      <c r="AD1087" s="417"/>
      <c r="AE1087" s="417"/>
      <c r="AF1087" s="417"/>
      <c r="AG1087" s="417"/>
      <c r="AH1087" s="417"/>
      <c r="AI1087" s="417"/>
      <c r="AJ1087" s="417"/>
      <c r="AK1087" s="436"/>
      <c r="AL1087" s="822"/>
    </row>
    <row r="1088" spans="1:38" s="33" customFormat="1" hidden="1" outlineLevel="1">
      <c r="A1088" s="1150"/>
      <c r="B1088" s="823">
        <f t="shared" si="86"/>
        <v>76</v>
      </c>
      <c r="C1088" s="373" t="str">
        <f t="shared" si="87"/>
        <v>VALLE DEL CAUCA</v>
      </c>
      <c r="D1088" s="374"/>
      <c r="E1088" s="1113"/>
      <c r="F1088" s="1104"/>
      <c r="G1088" s="375"/>
      <c r="H1088" s="1062"/>
      <c r="I1088" s="1057"/>
      <c r="J1088" s="1058"/>
      <c r="K1088" s="1070" t="str">
        <f t="shared" si="84"/>
        <v>Ok</v>
      </c>
      <c r="L1088" s="1077">
        <f t="shared" si="85"/>
        <v>0</v>
      </c>
      <c r="M1088" s="1091">
        <f>+H1088/'Parametros Generales'!$C$8</f>
        <v>0</v>
      </c>
      <c r="N1088" s="1098"/>
      <c r="O1088" s="1098"/>
      <c r="P1088" s="1098"/>
      <c r="Q1088" s="1098"/>
      <c r="R1088" s="1098">
        <f>+(M1088/'Parametros Generales'!$C$9)</f>
        <v>0</v>
      </c>
      <c r="S1088" s="395"/>
      <c r="T1088" s="395"/>
      <c r="U1088" s="395"/>
      <c r="V1088" s="396"/>
      <c r="W1088" s="376">
        <f>+R1088*'Componentes T.H.'!$Q$9*'Parametros Generales'!$C$6</f>
        <v>0</v>
      </c>
      <c r="X1088" s="376">
        <f>(+VLOOKUP(C1088,'Transporte y Viaticos'!$B$87:$L$120,2,0)*'Parametros Generales'!$C$7*R1088)*(2/3)</f>
        <v>0</v>
      </c>
      <c r="Y1088" s="417"/>
      <c r="Z1088" s="417"/>
      <c r="AA1088" s="417"/>
      <c r="AB1088" s="417">
        <f>+M1088*'Parametros Generales'!$C$6*'Parametros Generales'!$J$9</f>
        <v>0</v>
      </c>
      <c r="AC1088" s="417">
        <f>+H1088*'Parametros Generales'!$J$10*'Parametros Generales'!$C$6*'Parametros Generales'!$C$11</f>
        <v>0</v>
      </c>
      <c r="AD1088" s="417"/>
      <c r="AE1088" s="417"/>
      <c r="AF1088" s="417"/>
      <c r="AG1088" s="417"/>
      <c r="AH1088" s="417"/>
      <c r="AI1088" s="417"/>
      <c r="AJ1088" s="417"/>
      <c r="AK1088" s="436"/>
      <c r="AL1088" s="822"/>
    </row>
    <row r="1089" spans="1:38" s="33" customFormat="1" hidden="1" outlineLevel="1">
      <c r="A1089" s="1150"/>
      <c r="B1089" s="823">
        <f t="shared" si="86"/>
        <v>76</v>
      </c>
      <c r="C1089" s="373" t="str">
        <f t="shared" si="87"/>
        <v>VALLE DEL CAUCA</v>
      </c>
      <c r="D1089" s="374"/>
      <c r="E1089" s="1113"/>
      <c r="F1089" s="1104"/>
      <c r="G1089" s="375"/>
      <c r="H1089" s="1062"/>
      <c r="I1089" s="1057"/>
      <c r="J1089" s="1058"/>
      <c r="K1089" s="1070" t="str">
        <f t="shared" si="84"/>
        <v>Ok</v>
      </c>
      <c r="L1089" s="1077">
        <f t="shared" si="85"/>
        <v>0</v>
      </c>
      <c r="M1089" s="1091">
        <f>+H1089/'Parametros Generales'!$C$8</f>
        <v>0</v>
      </c>
      <c r="N1089" s="1098"/>
      <c r="O1089" s="1098"/>
      <c r="P1089" s="1098"/>
      <c r="Q1089" s="1098"/>
      <c r="R1089" s="1098">
        <f>+(M1089/'Parametros Generales'!$C$9)</f>
        <v>0</v>
      </c>
      <c r="S1089" s="395"/>
      <c r="T1089" s="395"/>
      <c r="U1089" s="395"/>
      <c r="V1089" s="396"/>
      <c r="W1089" s="376">
        <f>+R1089*'Componentes T.H.'!$Q$9*'Parametros Generales'!$C$6</f>
        <v>0</v>
      </c>
      <c r="X1089" s="376">
        <f>(+VLOOKUP(C1089,'Transporte y Viaticos'!$B$87:$L$120,2,0)*'Parametros Generales'!$C$7*R1089)*(2/3)</f>
        <v>0</v>
      </c>
      <c r="Y1089" s="417"/>
      <c r="Z1089" s="417"/>
      <c r="AA1089" s="417"/>
      <c r="AB1089" s="417">
        <f>+M1089*'Parametros Generales'!$C$6*'Parametros Generales'!$J$9</f>
        <v>0</v>
      </c>
      <c r="AC1089" s="417">
        <f>+H1089*'Parametros Generales'!$J$10*'Parametros Generales'!$C$6*'Parametros Generales'!$C$11</f>
        <v>0</v>
      </c>
      <c r="AD1089" s="417"/>
      <c r="AE1089" s="417"/>
      <c r="AF1089" s="417"/>
      <c r="AG1089" s="417"/>
      <c r="AH1089" s="417"/>
      <c r="AI1089" s="417"/>
      <c r="AJ1089" s="417"/>
      <c r="AK1089" s="436"/>
      <c r="AL1089" s="822"/>
    </row>
    <row r="1090" spans="1:38" s="33" customFormat="1" hidden="1" outlineLevel="1">
      <c r="A1090" s="1150"/>
      <c r="B1090" s="823">
        <f t="shared" si="86"/>
        <v>76</v>
      </c>
      <c r="C1090" s="373" t="str">
        <f t="shared" si="87"/>
        <v>VALLE DEL CAUCA</v>
      </c>
      <c r="D1090" s="374"/>
      <c r="E1090" s="1113"/>
      <c r="F1090" s="1104"/>
      <c r="G1090" s="375"/>
      <c r="H1090" s="1062"/>
      <c r="I1090" s="1057"/>
      <c r="J1090" s="1058"/>
      <c r="K1090" s="1070" t="str">
        <f t="shared" si="84"/>
        <v>Ok</v>
      </c>
      <c r="L1090" s="1077">
        <f t="shared" si="85"/>
        <v>0</v>
      </c>
      <c r="M1090" s="1091">
        <f>+H1090/'Parametros Generales'!$C$8</f>
        <v>0</v>
      </c>
      <c r="N1090" s="1098"/>
      <c r="O1090" s="1098"/>
      <c r="P1090" s="1098"/>
      <c r="Q1090" s="1098"/>
      <c r="R1090" s="1098">
        <f>+(M1090/'Parametros Generales'!$C$9)</f>
        <v>0</v>
      </c>
      <c r="S1090" s="395"/>
      <c r="T1090" s="395"/>
      <c r="U1090" s="395"/>
      <c r="V1090" s="396"/>
      <c r="W1090" s="376">
        <f>+R1090*'Componentes T.H.'!$Q$9*'Parametros Generales'!$C$6</f>
        <v>0</v>
      </c>
      <c r="X1090" s="376">
        <f>(+VLOOKUP(C1090,'Transporte y Viaticos'!$B$87:$L$120,2,0)*'Parametros Generales'!$C$7*R1090)*(2/3)</f>
        <v>0</v>
      </c>
      <c r="Y1090" s="417"/>
      <c r="Z1090" s="417"/>
      <c r="AA1090" s="417"/>
      <c r="AB1090" s="417">
        <f>+M1090*'Parametros Generales'!$C$6*'Parametros Generales'!$J$9</f>
        <v>0</v>
      </c>
      <c r="AC1090" s="417">
        <f>+H1090*'Parametros Generales'!$J$10*'Parametros Generales'!$C$6*'Parametros Generales'!$C$11</f>
        <v>0</v>
      </c>
      <c r="AD1090" s="417"/>
      <c r="AE1090" s="417"/>
      <c r="AF1090" s="417"/>
      <c r="AG1090" s="417"/>
      <c r="AH1090" s="417"/>
      <c r="AI1090" s="417"/>
      <c r="AJ1090" s="417"/>
      <c r="AK1090" s="436"/>
      <c r="AL1090" s="822"/>
    </row>
    <row r="1091" spans="1:38" s="33" customFormat="1" hidden="1" outlineLevel="1">
      <c r="A1091" s="1150"/>
      <c r="B1091" s="823">
        <f t="shared" si="86"/>
        <v>76</v>
      </c>
      <c r="C1091" s="373" t="str">
        <f t="shared" si="87"/>
        <v>VALLE DEL CAUCA</v>
      </c>
      <c r="D1091" s="374"/>
      <c r="E1091" s="1113"/>
      <c r="F1091" s="1104"/>
      <c r="G1091" s="375"/>
      <c r="H1091" s="1062"/>
      <c r="I1091" s="1057"/>
      <c r="J1091" s="1058"/>
      <c r="K1091" s="1070" t="str">
        <f t="shared" ref="K1091:K1154" si="88">+IF(I1091=E1091,"Ok","Rev")</f>
        <v>Ok</v>
      </c>
      <c r="L1091" s="1077">
        <f t="shared" ref="L1091:L1154" si="89">+J1091-H1091</f>
        <v>0</v>
      </c>
      <c r="M1091" s="1091">
        <f>+H1091/'Parametros Generales'!$C$8</f>
        <v>0</v>
      </c>
      <c r="N1091" s="1098"/>
      <c r="O1091" s="1098"/>
      <c r="P1091" s="1098"/>
      <c r="Q1091" s="1098"/>
      <c r="R1091" s="1098">
        <f>+(M1091/'Parametros Generales'!$C$9)</f>
        <v>0</v>
      </c>
      <c r="S1091" s="395"/>
      <c r="T1091" s="395"/>
      <c r="U1091" s="395"/>
      <c r="V1091" s="396"/>
      <c r="W1091" s="376">
        <f>+R1091*'Componentes T.H.'!$Q$9*'Parametros Generales'!$C$6</f>
        <v>0</v>
      </c>
      <c r="X1091" s="376">
        <f>(+VLOOKUP(C1091,'Transporte y Viaticos'!$B$87:$L$120,2,0)*'Parametros Generales'!$C$7*R1091)*(2/3)</f>
        <v>0</v>
      </c>
      <c r="Y1091" s="417"/>
      <c r="Z1091" s="417"/>
      <c r="AA1091" s="417"/>
      <c r="AB1091" s="417">
        <f>+M1091*'Parametros Generales'!$C$6*'Parametros Generales'!$J$9</f>
        <v>0</v>
      </c>
      <c r="AC1091" s="417">
        <f>+H1091*'Parametros Generales'!$J$10*'Parametros Generales'!$C$6*'Parametros Generales'!$C$11</f>
        <v>0</v>
      </c>
      <c r="AD1091" s="417"/>
      <c r="AE1091" s="417"/>
      <c r="AF1091" s="417"/>
      <c r="AG1091" s="417"/>
      <c r="AH1091" s="417"/>
      <c r="AI1091" s="417"/>
      <c r="AJ1091" s="417"/>
      <c r="AK1091" s="436"/>
      <c r="AL1091" s="822"/>
    </row>
    <row r="1092" spans="1:38" s="33" customFormat="1" hidden="1" outlineLevel="1">
      <c r="A1092" s="1150"/>
      <c r="B1092" s="823">
        <f t="shared" si="86"/>
        <v>76</v>
      </c>
      <c r="C1092" s="373" t="str">
        <f t="shared" si="87"/>
        <v>VALLE DEL CAUCA</v>
      </c>
      <c r="D1092" s="374"/>
      <c r="E1092" s="1113"/>
      <c r="F1092" s="1104"/>
      <c r="G1092" s="375"/>
      <c r="H1092" s="1062"/>
      <c r="I1092" s="1057"/>
      <c r="J1092" s="1058"/>
      <c r="K1092" s="1070" t="str">
        <f t="shared" si="88"/>
        <v>Ok</v>
      </c>
      <c r="L1092" s="1077">
        <f t="shared" si="89"/>
        <v>0</v>
      </c>
      <c r="M1092" s="1091">
        <f>+H1092/'Parametros Generales'!$C$8</f>
        <v>0</v>
      </c>
      <c r="N1092" s="1098"/>
      <c r="O1092" s="1098"/>
      <c r="P1092" s="1098"/>
      <c r="Q1092" s="1098"/>
      <c r="R1092" s="1098">
        <f>+(M1092/'Parametros Generales'!$C$9)</f>
        <v>0</v>
      </c>
      <c r="S1092" s="395"/>
      <c r="T1092" s="395"/>
      <c r="U1092" s="395"/>
      <c r="V1092" s="396"/>
      <c r="W1092" s="376">
        <f>+R1092*'Componentes T.H.'!$Q$9*'Parametros Generales'!$C$6</f>
        <v>0</v>
      </c>
      <c r="X1092" s="376">
        <f>(+VLOOKUP(C1092,'Transporte y Viaticos'!$B$87:$L$120,2,0)*'Parametros Generales'!$C$7*R1092)*(2/3)</f>
        <v>0</v>
      </c>
      <c r="Y1092" s="417"/>
      <c r="Z1092" s="417"/>
      <c r="AA1092" s="417"/>
      <c r="AB1092" s="417">
        <f>+M1092*'Parametros Generales'!$C$6*'Parametros Generales'!$J$9</f>
        <v>0</v>
      </c>
      <c r="AC1092" s="417">
        <f>+H1092*'Parametros Generales'!$J$10*'Parametros Generales'!$C$6*'Parametros Generales'!$C$11</f>
        <v>0</v>
      </c>
      <c r="AD1092" s="417"/>
      <c r="AE1092" s="417"/>
      <c r="AF1092" s="417"/>
      <c r="AG1092" s="417"/>
      <c r="AH1092" s="417"/>
      <c r="AI1092" s="417"/>
      <c r="AJ1092" s="417"/>
      <c r="AK1092" s="436"/>
      <c r="AL1092" s="822"/>
    </row>
    <row r="1093" spans="1:38" s="33" customFormat="1" hidden="1" outlineLevel="1">
      <c r="A1093" s="1150"/>
      <c r="B1093" s="823">
        <f t="shared" si="86"/>
        <v>76</v>
      </c>
      <c r="C1093" s="373" t="str">
        <f t="shared" si="87"/>
        <v>VALLE DEL CAUCA</v>
      </c>
      <c r="D1093" s="374"/>
      <c r="E1093" s="1113"/>
      <c r="F1093" s="1104"/>
      <c r="G1093" s="375"/>
      <c r="H1093" s="1062"/>
      <c r="I1093" s="1057"/>
      <c r="J1093" s="1058"/>
      <c r="K1093" s="1070" t="str">
        <f t="shared" si="88"/>
        <v>Ok</v>
      </c>
      <c r="L1093" s="1077">
        <f t="shared" si="89"/>
        <v>0</v>
      </c>
      <c r="M1093" s="1091">
        <f>+H1093/'Parametros Generales'!$C$8</f>
        <v>0</v>
      </c>
      <c r="N1093" s="1098"/>
      <c r="O1093" s="1098"/>
      <c r="P1093" s="1098"/>
      <c r="Q1093" s="1098"/>
      <c r="R1093" s="1098">
        <f>+(M1093/'Parametros Generales'!$C$9)</f>
        <v>0</v>
      </c>
      <c r="S1093" s="395"/>
      <c r="T1093" s="395"/>
      <c r="U1093" s="395"/>
      <c r="V1093" s="396"/>
      <c r="W1093" s="376">
        <f>+R1093*'Componentes T.H.'!$Q$9*'Parametros Generales'!$C$6</f>
        <v>0</v>
      </c>
      <c r="X1093" s="376">
        <f>(+VLOOKUP(C1093,'Transporte y Viaticos'!$B$87:$L$120,2,0)*'Parametros Generales'!$C$7*R1093)*(2/3)</f>
        <v>0</v>
      </c>
      <c r="Y1093" s="417"/>
      <c r="Z1093" s="417"/>
      <c r="AA1093" s="417"/>
      <c r="AB1093" s="417">
        <f>+M1093*'Parametros Generales'!$C$6*'Parametros Generales'!$J$9</f>
        <v>0</v>
      </c>
      <c r="AC1093" s="417">
        <f>+H1093*'Parametros Generales'!$J$10*'Parametros Generales'!$C$6*'Parametros Generales'!$C$11</f>
        <v>0</v>
      </c>
      <c r="AD1093" s="417"/>
      <c r="AE1093" s="417"/>
      <c r="AF1093" s="417"/>
      <c r="AG1093" s="417"/>
      <c r="AH1093" s="417"/>
      <c r="AI1093" s="417"/>
      <c r="AJ1093" s="417"/>
      <c r="AK1093" s="436"/>
      <c r="AL1093" s="822"/>
    </row>
    <row r="1094" spans="1:38" s="33" customFormat="1" hidden="1" outlineLevel="1">
      <c r="A1094" s="1150"/>
      <c r="B1094" s="823">
        <f t="shared" si="86"/>
        <v>76</v>
      </c>
      <c r="C1094" s="373" t="str">
        <f t="shared" si="87"/>
        <v>VALLE DEL CAUCA</v>
      </c>
      <c r="D1094" s="374"/>
      <c r="E1094" s="1113"/>
      <c r="F1094" s="1104"/>
      <c r="G1094" s="375"/>
      <c r="H1094" s="1062"/>
      <c r="I1094" s="1057"/>
      <c r="J1094" s="1058"/>
      <c r="K1094" s="1070" t="str">
        <f t="shared" si="88"/>
        <v>Ok</v>
      </c>
      <c r="L1094" s="1077">
        <f t="shared" si="89"/>
        <v>0</v>
      </c>
      <c r="M1094" s="1091">
        <f>+H1094/'Parametros Generales'!$C$8</f>
        <v>0</v>
      </c>
      <c r="N1094" s="1098"/>
      <c r="O1094" s="1098"/>
      <c r="P1094" s="1098"/>
      <c r="Q1094" s="1098"/>
      <c r="R1094" s="1098">
        <f>+(M1094/'Parametros Generales'!$C$9)</f>
        <v>0</v>
      </c>
      <c r="S1094" s="395"/>
      <c r="T1094" s="395"/>
      <c r="U1094" s="395"/>
      <c r="V1094" s="396"/>
      <c r="W1094" s="376">
        <f>+R1094*'Componentes T.H.'!$Q$9*'Parametros Generales'!$C$6</f>
        <v>0</v>
      </c>
      <c r="X1094" s="376">
        <f>(+VLOOKUP(C1094,'Transporte y Viaticos'!$B$87:$L$120,2,0)*'Parametros Generales'!$C$7*R1094)*(2/3)</f>
        <v>0</v>
      </c>
      <c r="Y1094" s="417"/>
      <c r="Z1094" s="417"/>
      <c r="AA1094" s="417"/>
      <c r="AB1094" s="417">
        <f>+M1094*'Parametros Generales'!$C$6*'Parametros Generales'!$J$9</f>
        <v>0</v>
      </c>
      <c r="AC1094" s="417">
        <f>+H1094*'Parametros Generales'!$J$10*'Parametros Generales'!$C$6*'Parametros Generales'!$C$11</f>
        <v>0</v>
      </c>
      <c r="AD1094" s="417"/>
      <c r="AE1094" s="417"/>
      <c r="AF1094" s="417"/>
      <c r="AG1094" s="417"/>
      <c r="AH1094" s="417"/>
      <c r="AI1094" s="417"/>
      <c r="AJ1094" s="417"/>
      <c r="AK1094" s="436"/>
      <c r="AL1094" s="822"/>
    </row>
    <row r="1095" spans="1:38" s="392" customFormat="1" collapsed="1">
      <c r="A1095" s="1151">
        <v>26</v>
      </c>
      <c r="B1095" s="824">
        <v>81</v>
      </c>
      <c r="C1095" s="385" t="s">
        <v>700</v>
      </c>
      <c r="D1095" s="386"/>
      <c r="E1095" s="1114" t="s">
        <v>700</v>
      </c>
      <c r="F1095" s="1105">
        <f>SUM(F1096:F1118)</f>
        <v>7</v>
      </c>
      <c r="G1095" s="388">
        <f>+SUM(G1096:G1102)</f>
        <v>1782</v>
      </c>
      <c r="H1095" s="512">
        <f>+SUM(H1096:H1118)</f>
        <v>1900</v>
      </c>
      <c r="I1095" s="1057" t="s">
        <v>700</v>
      </c>
      <c r="J1095" s="1067">
        <v>1900</v>
      </c>
      <c r="K1095" s="1069" t="str">
        <f t="shared" si="88"/>
        <v>Ok</v>
      </c>
      <c r="L1095" s="1077">
        <f t="shared" si="89"/>
        <v>0</v>
      </c>
      <c r="M1095" s="512">
        <f>+SUM(M1096:M1118)</f>
        <v>76</v>
      </c>
      <c r="N1095" s="1073">
        <f>+VLOOKUP(H1095,'Parametros Generales'!$B$14:$D$17,3,TRUE)</f>
        <v>0.4</v>
      </c>
      <c r="O1095" s="1073">
        <f>+VLOOKUP(H1095,'Parametros Generales'!$B$14:$D$17,3,TRUE)</f>
        <v>0.4</v>
      </c>
      <c r="P1095" s="1073">
        <f>+VLOOKUP(H1095,'Parametros Generales'!$B$14:$D$17,3,TRUE)</f>
        <v>0.4</v>
      </c>
      <c r="Q1095" s="1073">
        <f>+R1095/'Parametros Generales'!$C$10</f>
        <v>2.375</v>
      </c>
      <c r="R1095" s="512">
        <f>+SUM(R1096:R1118)</f>
        <v>19</v>
      </c>
      <c r="S1095" s="390">
        <f>+VLOOKUP(S$1,'Componentes T.H.'!$B$4:$R$22,'Componentes T.H.'!$Q$1,0)*'Parametros Generales'!$C$6*'Cost x Depart'!N1095</f>
        <v>5862705.6550666681</v>
      </c>
      <c r="T1095" s="390">
        <f>+VLOOKUP(T$1,'Componentes T.H.'!$B$4:$R$22,'Componentes T.H.'!$Q$1,0)*'Parametros Generales'!$C$6*'Cost x Depart'!O1095</f>
        <v>4417526.2636000002</v>
      </c>
      <c r="U1095" s="390">
        <f>+VLOOKUP(U$1,'Componentes T.H.'!$B$4:$R$22,'Componentes T.H.'!$Q$1,0)*'Parametros Generales'!$C$6*'Cost x Depart'!P1095</f>
        <v>1956172.8</v>
      </c>
      <c r="V1095" s="389">
        <f>+VLOOKUP(V$1,'Componentes T.H.'!$B$4:$R$22,'Componentes T.H.'!$Q$1,0)*'Parametros Generales'!$C$6*'Cost x Depart'!Q1095</f>
        <v>23728737.894041665</v>
      </c>
      <c r="W1095" s="512">
        <f>+SUM(W1096:W1118)</f>
        <v>95351634.349000007</v>
      </c>
      <c r="X1095" s="512">
        <f>+SUM(X1096:X1118)</f>
        <v>5545825.9842184624</v>
      </c>
      <c r="Y1095" s="391">
        <f>+VLOOKUP(C1096,'Transporte y Viaticos'!$B$87:$F$120,2,0)*((O1095/'Parametros Generales'!$J$14)+(Q1095/'Parametros Generales'!$J$15)+(R1095/'Parametros Generales'!$J$16))*'Parametros Generales'!$C$6</f>
        <v>268717.16035374324</v>
      </c>
      <c r="Z1095" s="391">
        <f>+(N1095+O1095+Q1095)*'Parametros Generales'!$C$6*'Parametros Generales'!$J$7</f>
        <v>624268.5</v>
      </c>
      <c r="AA1095" s="391">
        <f>+SUM(N1095:R1095)*'Parametros Generales'!$C$6*'Parametros Generales'!$J$8</f>
        <v>4052212.5</v>
      </c>
      <c r="AB1095" s="512">
        <f>+SUM(AB1096:AB1118)</f>
        <v>37005090.909090921</v>
      </c>
      <c r="AC1095" s="512">
        <f>+SUM(AC1096:AC1118)</f>
        <v>140015738.29031545</v>
      </c>
      <c r="AD1095" s="391">
        <f>+'Parametros Generales'!$J$11*SUM(N1095:R1095)</f>
        <v>759423</v>
      </c>
      <c r="AE1095" s="436">
        <f>+SUM(S1095:AD1095)</f>
        <v>319588053.30568689</v>
      </c>
      <c r="AF1095" s="391">
        <f>+AE1095*(SUM('Res de Costos Pais'!G117:G117))</f>
        <v>21891781.651439555</v>
      </c>
      <c r="AG1095" s="391">
        <f>+AE1095+AF1095</f>
        <v>341479834.95712644</v>
      </c>
      <c r="AH1095" s="391">
        <f>+AG1095*SUM('Res de Costos Pais'!$G$123:$G$124)</f>
        <v>3298695.2056858414</v>
      </c>
      <c r="AI1095" s="391">
        <f>+(AG1095+AH1095)*'Res de Costos Pais'!$G$136</f>
        <v>930902.03143959329</v>
      </c>
      <c r="AJ1095" s="391">
        <f>+(AG1095+AH1095+AI1095)*'Res de Costos Pais'!$G$140</f>
        <v>1382837.7287770077</v>
      </c>
      <c r="AK1095" s="391">
        <f>+AG1095+AH1095+AI1095+AJ1095</f>
        <v>347092269.92302889</v>
      </c>
      <c r="AL1095" s="820">
        <f>IF(ISERROR((+(AK1095/H1095)/'Parametros Generales'!$C$6)),0,(+(AK1095/H1095)/'Parametros Generales'!$C$6))</f>
        <v>36536.028412950414</v>
      </c>
    </row>
    <row r="1096" spans="1:38" s="33" customFormat="1" hidden="1" outlineLevel="1">
      <c r="A1096" s="1150"/>
      <c r="B1096" s="819">
        <v>81</v>
      </c>
      <c r="C1096" s="377" t="s">
        <v>700</v>
      </c>
      <c r="D1096" s="378">
        <f>+VLOOKUP(E1096,Codigos!$A$1:$B$1123,2,0)</f>
        <v>81001</v>
      </c>
      <c r="E1096" s="1110" t="s">
        <v>2274</v>
      </c>
      <c r="F1096" s="1102">
        <v>1</v>
      </c>
      <c r="G1096" s="379">
        <v>396</v>
      </c>
      <c r="H1096" s="1060">
        <f>CEILING(G1096,'Parametros Generales'!$C$8)</f>
        <v>400</v>
      </c>
      <c r="I1096" s="1057" t="s">
        <v>701</v>
      </c>
      <c r="J1096" s="1058">
        <v>400</v>
      </c>
      <c r="K1096" s="1070" t="str">
        <f t="shared" si="88"/>
        <v>Ok</v>
      </c>
      <c r="L1096" s="1077">
        <f t="shared" si="89"/>
        <v>0</v>
      </c>
      <c r="M1096" s="1089">
        <f>+H1096/'Parametros Generales'!$C$8</f>
        <v>16</v>
      </c>
      <c r="N1096" s="1096"/>
      <c r="O1096" s="1096"/>
      <c r="P1096" s="1096"/>
      <c r="Q1096" s="1096"/>
      <c r="R1096" s="1096">
        <f>+(M1096/'Parametros Generales'!$C$9)</f>
        <v>4</v>
      </c>
      <c r="S1096" s="393"/>
      <c r="T1096" s="393"/>
      <c r="U1096" s="393"/>
      <c r="V1096" s="394"/>
      <c r="W1096" s="380">
        <f>+R1096*'Componentes T.H.'!$Q$9*'Parametros Generales'!$C$6</f>
        <v>20074028.284000002</v>
      </c>
      <c r="X1096" s="380">
        <f>(+VLOOKUP(C1096,'Transporte y Viaticos'!$B$87:$L$120,2,0)*'Parametros Generales'!$C$7*R1096)*(2/3)</f>
        <v>1167542.3124670447</v>
      </c>
      <c r="Y1096" s="417"/>
      <c r="Z1096" s="417"/>
      <c r="AA1096" s="417"/>
      <c r="AB1096" s="417">
        <f>+M1096*'Parametros Generales'!$C$6*'Parametros Generales'!$J$9</f>
        <v>7790545.4545454569</v>
      </c>
      <c r="AC1096" s="417">
        <f>+H1096*'Parametros Generales'!$J$10*'Parametros Generales'!$C$6*'Parametros Generales'!$C$11</f>
        <v>29476997.534803249</v>
      </c>
      <c r="AD1096" s="417"/>
      <c r="AE1096" s="417"/>
      <c r="AF1096" s="417"/>
      <c r="AG1096" s="417"/>
      <c r="AH1096" s="417"/>
      <c r="AI1096" s="417"/>
      <c r="AJ1096" s="417"/>
      <c r="AK1096" s="436"/>
      <c r="AL1096" s="822"/>
    </row>
    <row r="1097" spans="1:38" s="33" customFormat="1" hidden="1" outlineLevel="1">
      <c r="A1097" s="1150"/>
      <c r="B1097" s="821">
        <v>81</v>
      </c>
      <c r="C1097" s="371" t="s">
        <v>700</v>
      </c>
      <c r="D1097" s="31">
        <f>+VLOOKUP(E1097,Codigos!$A$1:$B$1123,2,0)</f>
        <v>81065</v>
      </c>
      <c r="E1097" s="1111" t="s">
        <v>2275</v>
      </c>
      <c r="F1097" s="1103">
        <v>1</v>
      </c>
      <c r="G1097" s="30">
        <v>198</v>
      </c>
      <c r="H1097" s="1061">
        <f>CEILING(G1097,'Parametros Generales'!$C$8)</f>
        <v>200</v>
      </c>
      <c r="I1097" s="1057" t="s">
        <v>702</v>
      </c>
      <c r="J1097" s="1058">
        <v>200</v>
      </c>
      <c r="K1097" s="1070" t="str">
        <f t="shared" si="88"/>
        <v>Ok</v>
      </c>
      <c r="L1097" s="1077">
        <f t="shared" si="89"/>
        <v>0</v>
      </c>
      <c r="M1097" s="1090">
        <f>+H1097/'Parametros Generales'!$C$8</f>
        <v>8</v>
      </c>
      <c r="N1097" s="1097"/>
      <c r="O1097" s="1097"/>
      <c r="P1097" s="1097"/>
      <c r="Q1097" s="1097"/>
      <c r="R1097" s="1097">
        <f>+(M1097/'Parametros Generales'!$C$9)</f>
        <v>2</v>
      </c>
      <c r="S1097" s="390"/>
      <c r="T1097" s="390"/>
      <c r="U1097" s="390"/>
      <c r="V1097" s="389"/>
      <c r="W1097" s="32">
        <f>+R1097*'Componentes T.H.'!$Q$9*'Parametros Generales'!$C$6</f>
        <v>10037014.142000001</v>
      </c>
      <c r="X1097" s="32">
        <f>(+VLOOKUP(C1097,'Transporte y Viaticos'!$B$87:$L$120,2,0)*'Parametros Generales'!$C$7*R1097)*(2/3)</f>
        <v>583771.15623352234</v>
      </c>
      <c r="Y1097" s="417"/>
      <c r="Z1097" s="417"/>
      <c r="AA1097" s="417"/>
      <c r="AB1097" s="417">
        <f>+M1097*'Parametros Generales'!$C$6*'Parametros Generales'!$J$9</f>
        <v>3895272.7272727285</v>
      </c>
      <c r="AC1097" s="417">
        <f>+H1097*'Parametros Generales'!$J$10*'Parametros Generales'!$C$6*'Parametros Generales'!$C$11</f>
        <v>14738498.767401624</v>
      </c>
      <c r="AD1097" s="417"/>
      <c r="AE1097" s="417"/>
      <c r="AF1097" s="417"/>
      <c r="AG1097" s="417"/>
      <c r="AH1097" s="417"/>
      <c r="AI1097" s="417"/>
      <c r="AJ1097" s="417"/>
      <c r="AK1097" s="436"/>
      <c r="AL1097" s="822"/>
    </row>
    <row r="1098" spans="1:38" s="33" customFormat="1" hidden="1" outlineLevel="1">
      <c r="A1098" s="1150"/>
      <c r="B1098" s="821"/>
      <c r="C1098" s="371" t="str">
        <f>+C1097</f>
        <v>ARAUCA</v>
      </c>
      <c r="D1098" s="31"/>
      <c r="E1098" s="1111" t="s">
        <v>1172</v>
      </c>
      <c r="F1098" s="1103">
        <v>1</v>
      </c>
      <c r="G1098" s="30">
        <v>0</v>
      </c>
      <c r="H1098" s="1061">
        <v>100</v>
      </c>
      <c r="I1098" s="1057" t="s">
        <v>1172</v>
      </c>
      <c r="J1098" s="1058">
        <v>100</v>
      </c>
      <c r="K1098" s="1070" t="str">
        <f t="shared" si="88"/>
        <v>Ok</v>
      </c>
      <c r="L1098" s="1077">
        <f t="shared" si="89"/>
        <v>0</v>
      </c>
      <c r="M1098" s="1090">
        <f>+H1098/'Parametros Generales'!$C$8</f>
        <v>4</v>
      </c>
      <c r="N1098" s="1097"/>
      <c r="O1098" s="1097"/>
      <c r="P1098" s="1097"/>
      <c r="Q1098" s="1097"/>
      <c r="R1098" s="1097">
        <f>+(M1098/'Parametros Generales'!$C$9)</f>
        <v>1</v>
      </c>
      <c r="S1098" s="390"/>
      <c r="T1098" s="390"/>
      <c r="U1098" s="390"/>
      <c r="V1098" s="389"/>
      <c r="W1098" s="32">
        <f>+R1098*'Componentes T.H.'!$Q$9*'Parametros Generales'!$C$6</f>
        <v>5018507.0710000005</v>
      </c>
      <c r="X1098" s="32">
        <f>(+VLOOKUP(C1098,'Transporte y Viaticos'!$B$87:$L$120,2,0)*'Parametros Generales'!$C$7*R1098)*(2/3)</f>
        <v>291885.57811676117</v>
      </c>
      <c r="Y1098" s="417"/>
      <c r="Z1098" s="417"/>
      <c r="AA1098" s="417"/>
      <c r="AB1098" s="417">
        <f>+M1098*'Parametros Generales'!$C$6*'Parametros Generales'!$J$9</f>
        <v>1947636.3636363642</v>
      </c>
      <c r="AC1098" s="417">
        <f>+H1098*'Parametros Generales'!$J$10*'Parametros Generales'!$C$6*'Parametros Generales'!$C$11</f>
        <v>7369249.3837008122</v>
      </c>
      <c r="AD1098" s="417"/>
      <c r="AE1098" s="417"/>
      <c r="AF1098" s="417"/>
      <c r="AG1098" s="417"/>
      <c r="AH1098" s="417"/>
      <c r="AI1098" s="417"/>
      <c r="AJ1098" s="417"/>
      <c r="AK1098" s="436"/>
      <c r="AL1098" s="822"/>
    </row>
    <row r="1099" spans="1:38" s="33" customFormat="1" hidden="1" outlineLevel="1">
      <c r="A1099" s="1150"/>
      <c r="B1099" s="821">
        <v>81</v>
      </c>
      <c r="C1099" s="371" t="s">
        <v>700</v>
      </c>
      <c r="D1099" s="31">
        <f>+VLOOKUP(E1099,Codigos!$A$1:$B$1123,2,0)</f>
        <v>81300</v>
      </c>
      <c r="E1099" s="1111" t="s">
        <v>2276</v>
      </c>
      <c r="F1099" s="1103">
        <v>1</v>
      </c>
      <c r="G1099" s="30">
        <v>198</v>
      </c>
      <c r="H1099" s="1061">
        <f>CEILING(G1099,'Parametros Generales'!$C$8)</f>
        <v>200</v>
      </c>
      <c r="I1099" s="1057" t="s">
        <v>703</v>
      </c>
      <c r="J1099" s="1058">
        <v>200</v>
      </c>
      <c r="K1099" s="1070" t="str">
        <f t="shared" si="88"/>
        <v>Ok</v>
      </c>
      <c r="L1099" s="1076">
        <f t="shared" si="89"/>
        <v>0</v>
      </c>
      <c r="M1099" s="1090">
        <f>+H1099/'Parametros Generales'!$C$8</f>
        <v>8</v>
      </c>
      <c r="N1099" s="1097"/>
      <c r="O1099" s="1097"/>
      <c r="P1099" s="1097"/>
      <c r="Q1099" s="1097"/>
      <c r="R1099" s="1097">
        <f>+(M1099/'Parametros Generales'!$C$9)</f>
        <v>2</v>
      </c>
      <c r="S1099" s="390"/>
      <c r="T1099" s="390"/>
      <c r="U1099" s="390"/>
      <c r="V1099" s="389"/>
      <c r="W1099" s="32">
        <f>+R1099*'Componentes T.H.'!$Q$9*'Parametros Generales'!$C$6</f>
        <v>10037014.142000001</v>
      </c>
      <c r="X1099" s="32">
        <f>(+VLOOKUP(C1099,'Transporte y Viaticos'!$B$87:$L$120,2,0)*'Parametros Generales'!$C$7*R1099)*(2/3)</f>
        <v>583771.15623352234</v>
      </c>
      <c r="Y1099" s="417"/>
      <c r="Z1099" s="417"/>
      <c r="AA1099" s="417"/>
      <c r="AB1099" s="417">
        <f>+M1099*'Parametros Generales'!$C$6*'Parametros Generales'!$J$9</f>
        <v>3895272.7272727285</v>
      </c>
      <c r="AC1099" s="417">
        <f>+H1099*'Parametros Generales'!$J$10*'Parametros Generales'!$C$6*'Parametros Generales'!$C$11</f>
        <v>14738498.767401624</v>
      </c>
      <c r="AD1099" s="417"/>
      <c r="AE1099" s="417"/>
      <c r="AF1099" s="417"/>
      <c r="AG1099" s="417"/>
      <c r="AH1099" s="417"/>
      <c r="AI1099" s="417"/>
      <c r="AJ1099" s="417"/>
      <c r="AK1099" s="436"/>
      <c r="AL1099" s="822"/>
    </row>
    <row r="1100" spans="1:38" s="33" customFormat="1" hidden="1" outlineLevel="1">
      <c r="A1100" s="1150"/>
      <c r="B1100" s="821">
        <v>81</v>
      </c>
      <c r="C1100" s="371" t="s">
        <v>700</v>
      </c>
      <c r="D1100" s="31">
        <f>+VLOOKUP(E1100,Codigos!$A$1:$B$1123,2,0)</f>
        <v>81736</v>
      </c>
      <c r="E1100" s="1111" t="s">
        <v>2277</v>
      </c>
      <c r="F1100" s="1103">
        <v>1</v>
      </c>
      <c r="G1100" s="30">
        <v>396</v>
      </c>
      <c r="H1100" s="1061">
        <f>CEILING(G1100,'Parametros Generales'!$C$8)</f>
        <v>400</v>
      </c>
      <c r="I1100" s="1057" t="s">
        <v>704</v>
      </c>
      <c r="J1100" s="1058">
        <v>400</v>
      </c>
      <c r="K1100" s="1070" t="str">
        <f t="shared" si="88"/>
        <v>Ok</v>
      </c>
      <c r="L1100" s="1077">
        <f t="shared" si="89"/>
        <v>0</v>
      </c>
      <c r="M1100" s="1090">
        <f>+H1100/'Parametros Generales'!$C$8</f>
        <v>16</v>
      </c>
      <c r="N1100" s="1097"/>
      <c r="O1100" s="1097"/>
      <c r="P1100" s="1097"/>
      <c r="Q1100" s="1097"/>
      <c r="R1100" s="1097">
        <f>+(M1100/'Parametros Generales'!$C$9)</f>
        <v>4</v>
      </c>
      <c r="S1100" s="390"/>
      <c r="T1100" s="390"/>
      <c r="U1100" s="390"/>
      <c r="V1100" s="389"/>
      <c r="W1100" s="32">
        <f>+R1100*'Componentes T.H.'!$Q$9*'Parametros Generales'!$C$6</f>
        <v>20074028.284000002</v>
      </c>
      <c r="X1100" s="32">
        <f>(+VLOOKUP(C1100,'Transporte y Viaticos'!$B$87:$L$120,2,0)*'Parametros Generales'!$C$7*R1100)*(2/3)</f>
        <v>1167542.3124670447</v>
      </c>
      <c r="Y1100" s="417"/>
      <c r="Z1100" s="417"/>
      <c r="AA1100" s="417"/>
      <c r="AB1100" s="417">
        <f>+M1100*'Parametros Generales'!$C$6*'Parametros Generales'!$J$9</f>
        <v>7790545.4545454569</v>
      </c>
      <c r="AC1100" s="417">
        <f>+H1100*'Parametros Generales'!$J$10*'Parametros Generales'!$C$6*'Parametros Generales'!$C$11</f>
        <v>29476997.534803249</v>
      </c>
      <c r="AD1100" s="417"/>
      <c r="AE1100" s="417"/>
      <c r="AF1100" s="417"/>
      <c r="AG1100" s="417"/>
      <c r="AH1100" s="417"/>
      <c r="AI1100" s="417"/>
      <c r="AJ1100" s="417"/>
      <c r="AK1100" s="436"/>
      <c r="AL1100" s="822"/>
    </row>
    <row r="1101" spans="1:38" s="33" customFormat="1" hidden="1" outlineLevel="1">
      <c r="A1101" s="1150"/>
      <c r="B1101" s="823">
        <v>81</v>
      </c>
      <c r="C1101" s="373" t="s">
        <v>700</v>
      </c>
      <c r="D1101" s="374">
        <f>+VLOOKUP(E1101,Codigos!$A$1:$B$1123,2,0)</f>
        <v>81591</v>
      </c>
      <c r="E1101" s="1113" t="s">
        <v>2278</v>
      </c>
      <c r="F1101" s="1104">
        <v>1</v>
      </c>
      <c r="G1101" s="375">
        <v>396</v>
      </c>
      <c r="H1101" s="1062">
        <f>CEILING(G1101,'Parametros Generales'!$C$8)</f>
        <v>400</v>
      </c>
      <c r="I1101" s="1057" t="s">
        <v>1173</v>
      </c>
      <c r="J1101" s="1058">
        <v>400</v>
      </c>
      <c r="K1101" s="1070" t="str">
        <f t="shared" si="88"/>
        <v>Ok</v>
      </c>
      <c r="L1101" s="1077">
        <f t="shared" si="89"/>
        <v>0</v>
      </c>
      <c r="M1101" s="1091">
        <f>+H1101/'Parametros Generales'!$C$8</f>
        <v>16</v>
      </c>
      <c r="N1101" s="1098"/>
      <c r="O1101" s="1098"/>
      <c r="P1101" s="1098"/>
      <c r="Q1101" s="1098"/>
      <c r="R1101" s="1098">
        <f>+(M1101/'Parametros Generales'!$C$9)</f>
        <v>4</v>
      </c>
      <c r="S1101" s="395"/>
      <c r="T1101" s="395"/>
      <c r="U1101" s="395"/>
      <c r="V1101" s="396"/>
      <c r="W1101" s="376">
        <f>+R1101*'Componentes T.H.'!$Q$9*'Parametros Generales'!$C$6</f>
        <v>20074028.284000002</v>
      </c>
      <c r="X1101" s="376">
        <f>(+VLOOKUP(C1101,'Transporte y Viaticos'!$B$87:$L$120,2,0)*'Parametros Generales'!$C$7*R1101)*(2/3)</f>
        <v>1167542.3124670447</v>
      </c>
      <c r="Y1101" s="417"/>
      <c r="Z1101" s="417"/>
      <c r="AA1101" s="417"/>
      <c r="AB1101" s="417">
        <f>+M1101*'Parametros Generales'!$C$6*'Parametros Generales'!$J$9</f>
        <v>7790545.4545454569</v>
      </c>
      <c r="AC1101" s="417">
        <f>+H1101*'Parametros Generales'!$J$10*'Parametros Generales'!$C$6*'Parametros Generales'!$C$11</f>
        <v>29476997.534803249</v>
      </c>
      <c r="AD1101" s="417"/>
      <c r="AE1101" s="417"/>
      <c r="AF1101" s="417"/>
      <c r="AG1101" s="417"/>
      <c r="AH1101" s="417"/>
      <c r="AI1101" s="417"/>
      <c r="AJ1101" s="417"/>
      <c r="AK1101" s="436"/>
      <c r="AL1101" s="822"/>
    </row>
    <row r="1102" spans="1:38" s="33" customFormat="1" hidden="1" outlineLevel="1">
      <c r="A1102" s="1150"/>
      <c r="B1102" s="823">
        <f t="shared" ref="B1102:B1118" si="90">+B1101</f>
        <v>81</v>
      </c>
      <c r="C1102" s="373" t="str">
        <f>+C1101</f>
        <v>ARAUCA</v>
      </c>
      <c r="D1102" s="374"/>
      <c r="E1102" s="1113" t="s">
        <v>2279</v>
      </c>
      <c r="F1102" s="1104">
        <v>1</v>
      </c>
      <c r="G1102" s="375">
        <v>198</v>
      </c>
      <c r="H1102" s="1062">
        <f>CEILING(G1102,'Parametros Generales'!$C$8)</f>
        <v>200</v>
      </c>
      <c r="I1102" s="1057" t="s">
        <v>705</v>
      </c>
      <c r="J1102" s="1058">
        <v>200</v>
      </c>
      <c r="K1102" s="1070" t="str">
        <f t="shared" si="88"/>
        <v>Ok</v>
      </c>
      <c r="L1102" s="1077">
        <f t="shared" si="89"/>
        <v>0</v>
      </c>
      <c r="M1102" s="1091">
        <f>+H1102/'Parametros Generales'!$C$8</f>
        <v>8</v>
      </c>
      <c r="N1102" s="1098"/>
      <c r="O1102" s="1098"/>
      <c r="P1102" s="1098"/>
      <c r="Q1102" s="1098"/>
      <c r="R1102" s="1098">
        <f>+(M1102/'Parametros Generales'!$C$9)</f>
        <v>2</v>
      </c>
      <c r="S1102" s="395"/>
      <c r="T1102" s="395"/>
      <c r="U1102" s="395"/>
      <c r="V1102" s="396"/>
      <c r="W1102" s="376">
        <f>+R1102*'Componentes T.H.'!$Q$9*'Parametros Generales'!$C$6</f>
        <v>10037014.142000001</v>
      </c>
      <c r="X1102" s="376">
        <f>(+VLOOKUP(C1102,'Transporte y Viaticos'!$B$87:$L$120,2,0)*'Parametros Generales'!$C$7*R1102)*(2/3)</f>
        <v>583771.15623352234</v>
      </c>
      <c r="Y1102" s="417"/>
      <c r="Z1102" s="417"/>
      <c r="AA1102" s="417"/>
      <c r="AB1102" s="417">
        <f>+M1102*'Parametros Generales'!$C$6*'Parametros Generales'!$J$9</f>
        <v>3895272.7272727285</v>
      </c>
      <c r="AC1102" s="417">
        <f>+H1102*'Parametros Generales'!$J$10*'Parametros Generales'!$C$6*'Parametros Generales'!$C$11</f>
        <v>14738498.767401624</v>
      </c>
      <c r="AD1102" s="417"/>
      <c r="AE1102" s="417"/>
      <c r="AF1102" s="417"/>
      <c r="AG1102" s="417"/>
      <c r="AH1102" s="417"/>
      <c r="AI1102" s="417"/>
      <c r="AJ1102" s="417"/>
      <c r="AK1102" s="436"/>
      <c r="AL1102" s="822"/>
    </row>
    <row r="1103" spans="1:38" s="33" customFormat="1" hidden="1" outlineLevel="1">
      <c r="A1103" s="1150"/>
      <c r="B1103" s="823">
        <f t="shared" si="90"/>
        <v>81</v>
      </c>
      <c r="C1103" s="373" t="str">
        <f t="shared" ref="C1103:C1118" si="91">+C1102</f>
        <v>ARAUCA</v>
      </c>
      <c r="D1103" s="374"/>
      <c r="E1103" s="1113"/>
      <c r="F1103" s="1104"/>
      <c r="G1103" s="375"/>
      <c r="H1103" s="1062"/>
      <c r="I1103" s="1057"/>
      <c r="J1103" s="1058"/>
      <c r="K1103" s="1070" t="str">
        <f t="shared" si="88"/>
        <v>Ok</v>
      </c>
      <c r="L1103" s="1077">
        <f t="shared" si="89"/>
        <v>0</v>
      </c>
      <c r="M1103" s="1091">
        <f>+H1103/'Parametros Generales'!$C$8</f>
        <v>0</v>
      </c>
      <c r="N1103" s="1098"/>
      <c r="O1103" s="1098"/>
      <c r="P1103" s="1098"/>
      <c r="Q1103" s="1098"/>
      <c r="R1103" s="1098">
        <f>+(M1103/'Parametros Generales'!$C$9)</f>
        <v>0</v>
      </c>
      <c r="S1103" s="395"/>
      <c r="T1103" s="395"/>
      <c r="U1103" s="395"/>
      <c r="V1103" s="396"/>
      <c r="W1103" s="376">
        <f>+R1103*'Componentes T.H.'!$Q$9*'Parametros Generales'!$C$6</f>
        <v>0</v>
      </c>
      <c r="X1103" s="376">
        <f>(+VLOOKUP(C1103,'Transporte y Viaticos'!$B$87:$L$120,2,0)*'Parametros Generales'!$C$7*R1103)*(2/3)</f>
        <v>0</v>
      </c>
      <c r="Y1103" s="417"/>
      <c r="Z1103" s="417"/>
      <c r="AA1103" s="417"/>
      <c r="AB1103" s="417">
        <f>+M1103*'Parametros Generales'!$C$6*'Parametros Generales'!$J$9</f>
        <v>0</v>
      </c>
      <c r="AC1103" s="417">
        <f>+H1103*'Parametros Generales'!$J$10*'Parametros Generales'!$C$6*'Parametros Generales'!$C$11</f>
        <v>0</v>
      </c>
      <c r="AD1103" s="417"/>
      <c r="AE1103" s="417"/>
      <c r="AF1103" s="417"/>
      <c r="AG1103" s="417"/>
      <c r="AH1103" s="417"/>
      <c r="AI1103" s="417"/>
      <c r="AJ1103" s="417"/>
      <c r="AK1103" s="436"/>
      <c r="AL1103" s="822"/>
    </row>
    <row r="1104" spans="1:38" s="33" customFormat="1" hidden="1" outlineLevel="1">
      <c r="A1104" s="1150"/>
      <c r="B1104" s="823">
        <f t="shared" si="90"/>
        <v>81</v>
      </c>
      <c r="C1104" s="373" t="str">
        <f t="shared" si="91"/>
        <v>ARAUCA</v>
      </c>
      <c r="D1104" s="374"/>
      <c r="E1104" s="1113"/>
      <c r="F1104" s="1104"/>
      <c r="G1104" s="375"/>
      <c r="H1104" s="1062"/>
      <c r="I1104" s="1057"/>
      <c r="J1104" s="1058"/>
      <c r="K1104" s="1070" t="str">
        <f t="shared" si="88"/>
        <v>Ok</v>
      </c>
      <c r="L1104" s="1077">
        <f t="shared" si="89"/>
        <v>0</v>
      </c>
      <c r="M1104" s="1091">
        <f>+H1104/'Parametros Generales'!$C$8</f>
        <v>0</v>
      </c>
      <c r="N1104" s="1098"/>
      <c r="O1104" s="1098"/>
      <c r="P1104" s="1098"/>
      <c r="Q1104" s="1098"/>
      <c r="R1104" s="1098">
        <f>+(M1104/'Parametros Generales'!$C$9)</f>
        <v>0</v>
      </c>
      <c r="S1104" s="395"/>
      <c r="T1104" s="395"/>
      <c r="U1104" s="395"/>
      <c r="V1104" s="396"/>
      <c r="W1104" s="376">
        <f>+R1104*'Componentes T.H.'!$Q$9*'Parametros Generales'!$C$6</f>
        <v>0</v>
      </c>
      <c r="X1104" s="376">
        <f>(+VLOOKUP(C1104,'Transporte y Viaticos'!$B$87:$L$120,2,0)*'Parametros Generales'!$C$7*R1104)*(2/3)</f>
        <v>0</v>
      </c>
      <c r="Y1104" s="417"/>
      <c r="Z1104" s="417"/>
      <c r="AA1104" s="417"/>
      <c r="AB1104" s="417">
        <f>+M1104*'Parametros Generales'!$C$6*'Parametros Generales'!$J$9</f>
        <v>0</v>
      </c>
      <c r="AC1104" s="417">
        <f>+H1104*'Parametros Generales'!$J$10*'Parametros Generales'!$C$6*'Parametros Generales'!$C$11</f>
        <v>0</v>
      </c>
      <c r="AD1104" s="417"/>
      <c r="AE1104" s="417"/>
      <c r="AF1104" s="417"/>
      <c r="AG1104" s="417"/>
      <c r="AH1104" s="417"/>
      <c r="AI1104" s="417"/>
      <c r="AJ1104" s="417"/>
      <c r="AK1104" s="436"/>
      <c r="AL1104" s="822"/>
    </row>
    <row r="1105" spans="1:38" s="33" customFormat="1" hidden="1" outlineLevel="1">
      <c r="A1105" s="1150"/>
      <c r="B1105" s="823">
        <f t="shared" si="90"/>
        <v>81</v>
      </c>
      <c r="C1105" s="373" t="str">
        <f t="shared" si="91"/>
        <v>ARAUCA</v>
      </c>
      <c r="D1105" s="374"/>
      <c r="E1105" s="1113"/>
      <c r="F1105" s="1104"/>
      <c r="G1105" s="375"/>
      <c r="H1105" s="1062"/>
      <c r="I1105" s="1057"/>
      <c r="J1105" s="1058"/>
      <c r="K1105" s="1070" t="str">
        <f t="shared" si="88"/>
        <v>Ok</v>
      </c>
      <c r="L1105" s="1077">
        <f t="shared" si="89"/>
        <v>0</v>
      </c>
      <c r="M1105" s="1091">
        <f>+H1105/'Parametros Generales'!$C$8</f>
        <v>0</v>
      </c>
      <c r="N1105" s="1098"/>
      <c r="O1105" s="1098"/>
      <c r="P1105" s="1098"/>
      <c r="Q1105" s="1098"/>
      <c r="R1105" s="1098">
        <f>+(M1105/'Parametros Generales'!$C$9)</f>
        <v>0</v>
      </c>
      <c r="S1105" s="395"/>
      <c r="T1105" s="395"/>
      <c r="U1105" s="395"/>
      <c r="V1105" s="396"/>
      <c r="W1105" s="376">
        <f>+R1105*'Componentes T.H.'!$Q$9*'Parametros Generales'!$C$6</f>
        <v>0</v>
      </c>
      <c r="X1105" s="376">
        <f>(+VLOOKUP(C1105,'Transporte y Viaticos'!$B$87:$L$120,2,0)*'Parametros Generales'!$C$7*R1105)*(2/3)</f>
        <v>0</v>
      </c>
      <c r="Y1105" s="417"/>
      <c r="Z1105" s="417"/>
      <c r="AA1105" s="417"/>
      <c r="AB1105" s="417">
        <f>+M1105*'Parametros Generales'!$C$6*'Parametros Generales'!$J$9</f>
        <v>0</v>
      </c>
      <c r="AC1105" s="417">
        <f>+H1105*'Parametros Generales'!$J$10*'Parametros Generales'!$C$6*'Parametros Generales'!$C$11</f>
        <v>0</v>
      </c>
      <c r="AD1105" s="417"/>
      <c r="AE1105" s="417"/>
      <c r="AF1105" s="417"/>
      <c r="AG1105" s="417"/>
      <c r="AH1105" s="417"/>
      <c r="AI1105" s="417"/>
      <c r="AJ1105" s="417"/>
      <c r="AK1105" s="436"/>
      <c r="AL1105" s="822"/>
    </row>
    <row r="1106" spans="1:38" s="33" customFormat="1" hidden="1" outlineLevel="1">
      <c r="A1106" s="1150"/>
      <c r="B1106" s="823">
        <f t="shared" si="90"/>
        <v>81</v>
      </c>
      <c r="C1106" s="373" t="str">
        <f t="shared" si="91"/>
        <v>ARAUCA</v>
      </c>
      <c r="D1106" s="374"/>
      <c r="E1106" s="1113"/>
      <c r="F1106" s="1104"/>
      <c r="G1106" s="375"/>
      <c r="H1106" s="1062"/>
      <c r="I1106" s="1057"/>
      <c r="J1106" s="1058"/>
      <c r="K1106" s="1070" t="str">
        <f t="shared" si="88"/>
        <v>Ok</v>
      </c>
      <c r="L1106" s="1077">
        <f t="shared" si="89"/>
        <v>0</v>
      </c>
      <c r="M1106" s="1091">
        <f>+H1106/'Parametros Generales'!$C$8</f>
        <v>0</v>
      </c>
      <c r="N1106" s="1098"/>
      <c r="O1106" s="1098"/>
      <c r="P1106" s="1098"/>
      <c r="Q1106" s="1098"/>
      <c r="R1106" s="1098">
        <f>+(M1106/'Parametros Generales'!$C$9)</f>
        <v>0</v>
      </c>
      <c r="S1106" s="395"/>
      <c r="T1106" s="395"/>
      <c r="U1106" s="395"/>
      <c r="V1106" s="396"/>
      <c r="W1106" s="376">
        <f>+R1106*'Componentes T.H.'!$Q$9*'Parametros Generales'!$C$6</f>
        <v>0</v>
      </c>
      <c r="X1106" s="376">
        <f>(+VLOOKUP(C1106,'Transporte y Viaticos'!$B$87:$L$120,2,0)*'Parametros Generales'!$C$7*R1106)*(2/3)</f>
        <v>0</v>
      </c>
      <c r="Y1106" s="417"/>
      <c r="Z1106" s="417"/>
      <c r="AA1106" s="417"/>
      <c r="AB1106" s="417">
        <f>+M1106*'Parametros Generales'!$C$6*'Parametros Generales'!$J$9</f>
        <v>0</v>
      </c>
      <c r="AC1106" s="417">
        <f>+H1106*'Parametros Generales'!$J$10*'Parametros Generales'!$C$6*'Parametros Generales'!$C$11</f>
        <v>0</v>
      </c>
      <c r="AD1106" s="417"/>
      <c r="AE1106" s="417"/>
      <c r="AF1106" s="417"/>
      <c r="AG1106" s="417"/>
      <c r="AH1106" s="417"/>
      <c r="AI1106" s="417"/>
      <c r="AJ1106" s="417"/>
      <c r="AK1106" s="436"/>
      <c r="AL1106" s="822"/>
    </row>
    <row r="1107" spans="1:38" s="33" customFormat="1" hidden="1" outlineLevel="1">
      <c r="A1107" s="1150"/>
      <c r="B1107" s="823">
        <f t="shared" si="90"/>
        <v>81</v>
      </c>
      <c r="C1107" s="373" t="str">
        <f t="shared" si="91"/>
        <v>ARAUCA</v>
      </c>
      <c r="D1107" s="374"/>
      <c r="E1107" s="1113"/>
      <c r="F1107" s="1104"/>
      <c r="G1107" s="375"/>
      <c r="H1107" s="1062"/>
      <c r="I1107" s="1057"/>
      <c r="J1107" s="1058"/>
      <c r="K1107" s="1070" t="str">
        <f t="shared" si="88"/>
        <v>Ok</v>
      </c>
      <c r="L1107" s="1077">
        <f t="shared" si="89"/>
        <v>0</v>
      </c>
      <c r="M1107" s="1091">
        <f>+H1107/'Parametros Generales'!$C$8</f>
        <v>0</v>
      </c>
      <c r="N1107" s="1098"/>
      <c r="O1107" s="1098"/>
      <c r="P1107" s="1098"/>
      <c r="Q1107" s="1098"/>
      <c r="R1107" s="1098">
        <f>+(M1107/'Parametros Generales'!$C$9)</f>
        <v>0</v>
      </c>
      <c r="S1107" s="395"/>
      <c r="T1107" s="395"/>
      <c r="U1107" s="395"/>
      <c r="V1107" s="396"/>
      <c r="W1107" s="376">
        <f>+R1107*'Componentes T.H.'!$Q$9*'Parametros Generales'!$C$6</f>
        <v>0</v>
      </c>
      <c r="X1107" s="376">
        <f>(+VLOOKUP(C1107,'Transporte y Viaticos'!$B$87:$L$120,2,0)*'Parametros Generales'!$C$7*R1107)*(2/3)</f>
        <v>0</v>
      </c>
      <c r="Y1107" s="417"/>
      <c r="Z1107" s="417"/>
      <c r="AA1107" s="417"/>
      <c r="AB1107" s="417">
        <f>+M1107*'Parametros Generales'!$C$6*'Parametros Generales'!$J$9</f>
        <v>0</v>
      </c>
      <c r="AC1107" s="417">
        <f>+H1107*'Parametros Generales'!$J$10*'Parametros Generales'!$C$6*'Parametros Generales'!$C$11</f>
        <v>0</v>
      </c>
      <c r="AD1107" s="417"/>
      <c r="AE1107" s="417"/>
      <c r="AF1107" s="417"/>
      <c r="AG1107" s="417"/>
      <c r="AH1107" s="417"/>
      <c r="AI1107" s="417"/>
      <c r="AJ1107" s="417"/>
      <c r="AK1107" s="436"/>
      <c r="AL1107" s="822"/>
    </row>
    <row r="1108" spans="1:38" s="33" customFormat="1" hidden="1" outlineLevel="1">
      <c r="A1108" s="1150"/>
      <c r="B1108" s="823">
        <f t="shared" si="90"/>
        <v>81</v>
      </c>
      <c r="C1108" s="373" t="str">
        <f t="shared" si="91"/>
        <v>ARAUCA</v>
      </c>
      <c r="D1108" s="374"/>
      <c r="E1108" s="1113"/>
      <c r="F1108" s="1104"/>
      <c r="G1108" s="375"/>
      <c r="H1108" s="1062"/>
      <c r="I1108" s="1057"/>
      <c r="J1108" s="1058"/>
      <c r="K1108" s="1070" t="str">
        <f t="shared" si="88"/>
        <v>Ok</v>
      </c>
      <c r="L1108" s="1077">
        <f t="shared" si="89"/>
        <v>0</v>
      </c>
      <c r="M1108" s="1091">
        <f>+H1108/'Parametros Generales'!$C$8</f>
        <v>0</v>
      </c>
      <c r="N1108" s="1098"/>
      <c r="O1108" s="1098"/>
      <c r="P1108" s="1098"/>
      <c r="Q1108" s="1098"/>
      <c r="R1108" s="1098">
        <f>+(M1108/'Parametros Generales'!$C$9)</f>
        <v>0</v>
      </c>
      <c r="S1108" s="395"/>
      <c r="T1108" s="395"/>
      <c r="U1108" s="395"/>
      <c r="V1108" s="396"/>
      <c r="W1108" s="376">
        <f>+R1108*'Componentes T.H.'!$Q$9*'Parametros Generales'!$C$6</f>
        <v>0</v>
      </c>
      <c r="X1108" s="376">
        <f>(+VLOOKUP(C1108,'Transporte y Viaticos'!$B$87:$L$120,2,0)*'Parametros Generales'!$C$7*R1108)*(2/3)</f>
        <v>0</v>
      </c>
      <c r="Y1108" s="417"/>
      <c r="Z1108" s="417"/>
      <c r="AA1108" s="417"/>
      <c r="AB1108" s="417">
        <f>+M1108*'Parametros Generales'!$C$6*'Parametros Generales'!$J$9</f>
        <v>0</v>
      </c>
      <c r="AC1108" s="417">
        <f>+H1108*'Parametros Generales'!$J$10*'Parametros Generales'!$C$6*'Parametros Generales'!$C$11</f>
        <v>0</v>
      </c>
      <c r="AD1108" s="417"/>
      <c r="AE1108" s="417"/>
      <c r="AF1108" s="417"/>
      <c r="AG1108" s="417"/>
      <c r="AH1108" s="417"/>
      <c r="AI1108" s="417"/>
      <c r="AJ1108" s="417"/>
      <c r="AK1108" s="436"/>
      <c r="AL1108" s="822"/>
    </row>
    <row r="1109" spans="1:38" s="33" customFormat="1" hidden="1" outlineLevel="1">
      <c r="A1109" s="1150"/>
      <c r="B1109" s="823">
        <f t="shared" si="90"/>
        <v>81</v>
      </c>
      <c r="C1109" s="373" t="str">
        <f t="shared" si="91"/>
        <v>ARAUCA</v>
      </c>
      <c r="D1109" s="374"/>
      <c r="E1109" s="1113"/>
      <c r="F1109" s="1104"/>
      <c r="G1109" s="375"/>
      <c r="H1109" s="1062"/>
      <c r="I1109" s="1057"/>
      <c r="J1109" s="1058"/>
      <c r="K1109" s="1070" t="str">
        <f t="shared" si="88"/>
        <v>Ok</v>
      </c>
      <c r="L1109" s="1077">
        <f t="shared" si="89"/>
        <v>0</v>
      </c>
      <c r="M1109" s="1091">
        <f>+H1109/'Parametros Generales'!$C$8</f>
        <v>0</v>
      </c>
      <c r="N1109" s="1098"/>
      <c r="O1109" s="1098"/>
      <c r="P1109" s="1098"/>
      <c r="Q1109" s="1098"/>
      <c r="R1109" s="1098">
        <f>+(M1109/'Parametros Generales'!$C$9)</f>
        <v>0</v>
      </c>
      <c r="S1109" s="395"/>
      <c r="T1109" s="395"/>
      <c r="U1109" s="395"/>
      <c r="V1109" s="396"/>
      <c r="W1109" s="376">
        <f>+R1109*'Componentes T.H.'!$Q$9*'Parametros Generales'!$C$6</f>
        <v>0</v>
      </c>
      <c r="X1109" s="376">
        <f>(+VLOOKUP(C1109,'Transporte y Viaticos'!$B$87:$L$120,2,0)*'Parametros Generales'!$C$7*R1109)*(2/3)</f>
        <v>0</v>
      </c>
      <c r="Y1109" s="417"/>
      <c r="Z1109" s="417"/>
      <c r="AA1109" s="417"/>
      <c r="AB1109" s="417">
        <f>+M1109*'Parametros Generales'!$C$6*'Parametros Generales'!$J$9</f>
        <v>0</v>
      </c>
      <c r="AC1109" s="417">
        <f>+H1109*'Parametros Generales'!$J$10*'Parametros Generales'!$C$6*'Parametros Generales'!$C$11</f>
        <v>0</v>
      </c>
      <c r="AD1109" s="417"/>
      <c r="AE1109" s="417"/>
      <c r="AF1109" s="417"/>
      <c r="AG1109" s="417"/>
      <c r="AH1109" s="417"/>
      <c r="AI1109" s="417"/>
      <c r="AJ1109" s="417"/>
      <c r="AK1109" s="436"/>
      <c r="AL1109" s="822"/>
    </row>
    <row r="1110" spans="1:38" s="33" customFormat="1" hidden="1" outlineLevel="1">
      <c r="A1110" s="1150"/>
      <c r="B1110" s="823">
        <f t="shared" si="90"/>
        <v>81</v>
      </c>
      <c r="C1110" s="373" t="str">
        <f t="shared" si="91"/>
        <v>ARAUCA</v>
      </c>
      <c r="D1110" s="374"/>
      <c r="E1110" s="1113"/>
      <c r="F1110" s="1104"/>
      <c r="G1110" s="375"/>
      <c r="H1110" s="1062"/>
      <c r="I1110" s="1057"/>
      <c r="J1110" s="1058"/>
      <c r="K1110" s="1070" t="str">
        <f t="shared" si="88"/>
        <v>Ok</v>
      </c>
      <c r="L1110" s="1077">
        <f t="shared" si="89"/>
        <v>0</v>
      </c>
      <c r="M1110" s="1091">
        <f>+H1110/'Parametros Generales'!$C$8</f>
        <v>0</v>
      </c>
      <c r="N1110" s="1098"/>
      <c r="O1110" s="1098"/>
      <c r="P1110" s="1098"/>
      <c r="Q1110" s="1098"/>
      <c r="R1110" s="1098">
        <f>+(M1110/'Parametros Generales'!$C$9)</f>
        <v>0</v>
      </c>
      <c r="S1110" s="395"/>
      <c r="T1110" s="395"/>
      <c r="U1110" s="395"/>
      <c r="V1110" s="396"/>
      <c r="W1110" s="376">
        <f>+R1110*'Componentes T.H.'!$Q$9*'Parametros Generales'!$C$6</f>
        <v>0</v>
      </c>
      <c r="X1110" s="376">
        <f>(+VLOOKUP(C1110,'Transporte y Viaticos'!$B$87:$L$120,2,0)*'Parametros Generales'!$C$7*R1110)*(2/3)</f>
        <v>0</v>
      </c>
      <c r="Y1110" s="417"/>
      <c r="Z1110" s="417"/>
      <c r="AA1110" s="417"/>
      <c r="AB1110" s="417">
        <f>+M1110*'Parametros Generales'!$C$6*'Parametros Generales'!$J$9</f>
        <v>0</v>
      </c>
      <c r="AC1110" s="417">
        <f>+H1110*'Parametros Generales'!$J$10*'Parametros Generales'!$C$6*'Parametros Generales'!$C$11</f>
        <v>0</v>
      </c>
      <c r="AD1110" s="417"/>
      <c r="AE1110" s="417"/>
      <c r="AF1110" s="417"/>
      <c r="AG1110" s="417"/>
      <c r="AH1110" s="417"/>
      <c r="AI1110" s="417"/>
      <c r="AJ1110" s="417"/>
      <c r="AK1110" s="436"/>
      <c r="AL1110" s="822"/>
    </row>
    <row r="1111" spans="1:38" s="33" customFormat="1" hidden="1" outlineLevel="1">
      <c r="A1111" s="1150"/>
      <c r="B1111" s="823">
        <f t="shared" si="90"/>
        <v>81</v>
      </c>
      <c r="C1111" s="373" t="str">
        <f t="shared" si="91"/>
        <v>ARAUCA</v>
      </c>
      <c r="D1111" s="374"/>
      <c r="E1111" s="1113"/>
      <c r="F1111" s="1104"/>
      <c r="G1111" s="375"/>
      <c r="H1111" s="1062"/>
      <c r="I1111" s="1057"/>
      <c r="J1111" s="1058"/>
      <c r="K1111" s="1070" t="str">
        <f t="shared" si="88"/>
        <v>Ok</v>
      </c>
      <c r="L1111" s="1077">
        <f t="shared" si="89"/>
        <v>0</v>
      </c>
      <c r="M1111" s="1091">
        <f>+H1111/'Parametros Generales'!$C$8</f>
        <v>0</v>
      </c>
      <c r="N1111" s="1098"/>
      <c r="O1111" s="1098"/>
      <c r="P1111" s="1098"/>
      <c r="Q1111" s="1098"/>
      <c r="R1111" s="1098">
        <f>+(M1111/'Parametros Generales'!$C$9)</f>
        <v>0</v>
      </c>
      <c r="S1111" s="395"/>
      <c r="T1111" s="395"/>
      <c r="U1111" s="395"/>
      <c r="V1111" s="396"/>
      <c r="W1111" s="376">
        <f>+R1111*'Componentes T.H.'!$Q$9*'Parametros Generales'!$C$6</f>
        <v>0</v>
      </c>
      <c r="X1111" s="376">
        <f>(+VLOOKUP(C1111,'Transporte y Viaticos'!$B$87:$L$120,2,0)*'Parametros Generales'!$C$7*R1111)*(2/3)</f>
        <v>0</v>
      </c>
      <c r="Y1111" s="417"/>
      <c r="Z1111" s="417"/>
      <c r="AA1111" s="417"/>
      <c r="AB1111" s="417">
        <f>+M1111*'Parametros Generales'!$C$6*'Parametros Generales'!$J$9</f>
        <v>0</v>
      </c>
      <c r="AC1111" s="417">
        <f>+H1111*'Parametros Generales'!$J$10*'Parametros Generales'!$C$6*'Parametros Generales'!$C$11</f>
        <v>0</v>
      </c>
      <c r="AD1111" s="417"/>
      <c r="AE1111" s="417"/>
      <c r="AF1111" s="417"/>
      <c r="AG1111" s="417"/>
      <c r="AH1111" s="417"/>
      <c r="AI1111" s="417"/>
      <c r="AJ1111" s="417"/>
      <c r="AK1111" s="436"/>
      <c r="AL1111" s="822"/>
    </row>
    <row r="1112" spans="1:38" s="33" customFormat="1" hidden="1" outlineLevel="1">
      <c r="A1112" s="1150"/>
      <c r="B1112" s="823">
        <f t="shared" si="90"/>
        <v>81</v>
      </c>
      <c r="C1112" s="373" t="str">
        <f t="shared" si="91"/>
        <v>ARAUCA</v>
      </c>
      <c r="D1112" s="374"/>
      <c r="E1112" s="1113"/>
      <c r="F1112" s="1104"/>
      <c r="G1112" s="375"/>
      <c r="H1112" s="1062"/>
      <c r="I1112" s="1057"/>
      <c r="J1112" s="1058"/>
      <c r="K1112" s="1070" t="str">
        <f t="shared" si="88"/>
        <v>Ok</v>
      </c>
      <c r="L1112" s="1077">
        <f t="shared" si="89"/>
        <v>0</v>
      </c>
      <c r="M1112" s="1091">
        <f>+H1112/'Parametros Generales'!$C$8</f>
        <v>0</v>
      </c>
      <c r="N1112" s="1098"/>
      <c r="O1112" s="1098"/>
      <c r="P1112" s="1098"/>
      <c r="Q1112" s="1098"/>
      <c r="R1112" s="1098">
        <f>+(M1112/'Parametros Generales'!$C$9)</f>
        <v>0</v>
      </c>
      <c r="S1112" s="395"/>
      <c r="T1112" s="395"/>
      <c r="U1112" s="395"/>
      <c r="V1112" s="396"/>
      <c r="W1112" s="376">
        <f>+R1112*'Componentes T.H.'!$Q$9*'Parametros Generales'!$C$6</f>
        <v>0</v>
      </c>
      <c r="X1112" s="376">
        <f>(+VLOOKUP(C1112,'Transporte y Viaticos'!$B$87:$L$120,2,0)*'Parametros Generales'!$C$7*R1112)*(2/3)</f>
        <v>0</v>
      </c>
      <c r="Y1112" s="417"/>
      <c r="Z1112" s="417"/>
      <c r="AA1112" s="417"/>
      <c r="AB1112" s="417">
        <f>+M1112*'Parametros Generales'!$C$6*'Parametros Generales'!$J$9</f>
        <v>0</v>
      </c>
      <c r="AC1112" s="417">
        <f>+H1112*'Parametros Generales'!$J$10*'Parametros Generales'!$C$6*'Parametros Generales'!$C$11</f>
        <v>0</v>
      </c>
      <c r="AD1112" s="417"/>
      <c r="AE1112" s="417"/>
      <c r="AF1112" s="417"/>
      <c r="AG1112" s="417"/>
      <c r="AH1112" s="417"/>
      <c r="AI1112" s="417"/>
      <c r="AJ1112" s="417"/>
      <c r="AK1112" s="436"/>
      <c r="AL1112" s="822"/>
    </row>
    <row r="1113" spans="1:38" s="33" customFormat="1" hidden="1" outlineLevel="1">
      <c r="A1113" s="1150"/>
      <c r="B1113" s="823">
        <f t="shared" si="90"/>
        <v>81</v>
      </c>
      <c r="C1113" s="373" t="str">
        <f t="shared" si="91"/>
        <v>ARAUCA</v>
      </c>
      <c r="D1113" s="374"/>
      <c r="E1113" s="1113"/>
      <c r="F1113" s="1104"/>
      <c r="G1113" s="375"/>
      <c r="H1113" s="1062"/>
      <c r="I1113" s="1057"/>
      <c r="J1113" s="1058"/>
      <c r="K1113" s="1070" t="str">
        <f t="shared" si="88"/>
        <v>Ok</v>
      </c>
      <c r="L1113" s="1077">
        <f t="shared" si="89"/>
        <v>0</v>
      </c>
      <c r="M1113" s="1091">
        <f>+H1113/'Parametros Generales'!$C$8</f>
        <v>0</v>
      </c>
      <c r="N1113" s="1098"/>
      <c r="O1113" s="1098"/>
      <c r="P1113" s="1098"/>
      <c r="Q1113" s="1098"/>
      <c r="R1113" s="1098">
        <f>+(M1113/'Parametros Generales'!$C$9)</f>
        <v>0</v>
      </c>
      <c r="S1113" s="395"/>
      <c r="T1113" s="395"/>
      <c r="U1113" s="395"/>
      <c r="V1113" s="396"/>
      <c r="W1113" s="376">
        <f>+R1113*'Componentes T.H.'!$Q$9*'Parametros Generales'!$C$6</f>
        <v>0</v>
      </c>
      <c r="X1113" s="376">
        <f>(+VLOOKUP(C1113,'Transporte y Viaticos'!$B$87:$L$120,2,0)*'Parametros Generales'!$C$7*R1113)*(2/3)</f>
        <v>0</v>
      </c>
      <c r="Y1113" s="417"/>
      <c r="Z1113" s="417"/>
      <c r="AA1113" s="417"/>
      <c r="AB1113" s="417">
        <f>+M1113*'Parametros Generales'!$C$6*'Parametros Generales'!$J$9</f>
        <v>0</v>
      </c>
      <c r="AC1113" s="417">
        <f>+H1113*'Parametros Generales'!$J$10*'Parametros Generales'!$C$6*'Parametros Generales'!$C$11</f>
        <v>0</v>
      </c>
      <c r="AD1113" s="417"/>
      <c r="AE1113" s="417"/>
      <c r="AF1113" s="417"/>
      <c r="AG1113" s="417"/>
      <c r="AH1113" s="417"/>
      <c r="AI1113" s="417"/>
      <c r="AJ1113" s="417"/>
      <c r="AK1113" s="436"/>
      <c r="AL1113" s="822"/>
    </row>
    <row r="1114" spans="1:38" s="33" customFormat="1" hidden="1" outlineLevel="1">
      <c r="A1114" s="1150"/>
      <c r="B1114" s="823">
        <f t="shared" si="90"/>
        <v>81</v>
      </c>
      <c r="C1114" s="373" t="str">
        <f t="shared" si="91"/>
        <v>ARAUCA</v>
      </c>
      <c r="D1114" s="374"/>
      <c r="E1114" s="1113"/>
      <c r="F1114" s="1104"/>
      <c r="G1114" s="375"/>
      <c r="H1114" s="1062"/>
      <c r="I1114" s="1057"/>
      <c r="J1114" s="1058"/>
      <c r="K1114" s="1070" t="str">
        <f t="shared" si="88"/>
        <v>Ok</v>
      </c>
      <c r="L1114" s="1077">
        <f t="shared" si="89"/>
        <v>0</v>
      </c>
      <c r="M1114" s="1091">
        <f>+H1114/'Parametros Generales'!$C$8</f>
        <v>0</v>
      </c>
      <c r="N1114" s="1098"/>
      <c r="O1114" s="1098"/>
      <c r="P1114" s="1098"/>
      <c r="Q1114" s="1098"/>
      <c r="R1114" s="1098">
        <f>+(M1114/'Parametros Generales'!$C$9)</f>
        <v>0</v>
      </c>
      <c r="S1114" s="395"/>
      <c r="T1114" s="395"/>
      <c r="U1114" s="395"/>
      <c r="V1114" s="396"/>
      <c r="W1114" s="376">
        <f>+R1114*'Componentes T.H.'!$Q$9*'Parametros Generales'!$C$6</f>
        <v>0</v>
      </c>
      <c r="X1114" s="376">
        <f>(+VLOOKUP(C1114,'Transporte y Viaticos'!$B$87:$L$120,2,0)*'Parametros Generales'!$C$7*R1114)*(2/3)</f>
        <v>0</v>
      </c>
      <c r="Y1114" s="417"/>
      <c r="Z1114" s="417"/>
      <c r="AA1114" s="417"/>
      <c r="AB1114" s="417">
        <f>+M1114*'Parametros Generales'!$C$6*'Parametros Generales'!$J$9</f>
        <v>0</v>
      </c>
      <c r="AC1114" s="417">
        <f>+H1114*'Parametros Generales'!$J$10*'Parametros Generales'!$C$6*'Parametros Generales'!$C$11</f>
        <v>0</v>
      </c>
      <c r="AD1114" s="417"/>
      <c r="AE1114" s="417"/>
      <c r="AF1114" s="417"/>
      <c r="AG1114" s="417"/>
      <c r="AH1114" s="417"/>
      <c r="AI1114" s="417"/>
      <c r="AJ1114" s="417"/>
      <c r="AK1114" s="436"/>
      <c r="AL1114" s="822"/>
    </row>
    <row r="1115" spans="1:38" s="33" customFormat="1" hidden="1" outlineLevel="1">
      <c r="A1115" s="1150"/>
      <c r="B1115" s="823">
        <f t="shared" si="90"/>
        <v>81</v>
      </c>
      <c r="C1115" s="373" t="str">
        <f t="shared" si="91"/>
        <v>ARAUCA</v>
      </c>
      <c r="D1115" s="374"/>
      <c r="E1115" s="1113"/>
      <c r="F1115" s="1104"/>
      <c r="G1115" s="375"/>
      <c r="H1115" s="1062"/>
      <c r="I1115" s="1057"/>
      <c r="J1115" s="1058"/>
      <c r="K1115" s="1070" t="str">
        <f t="shared" si="88"/>
        <v>Ok</v>
      </c>
      <c r="L1115" s="1077">
        <f t="shared" si="89"/>
        <v>0</v>
      </c>
      <c r="M1115" s="1091">
        <f>+H1115/'Parametros Generales'!$C$8</f>
        <v>0</v>
      </c>
      <c r="N1115" s="1098"/>
      <c r="O1115" s="1098"/>
      <c r="P1115" s="1098"/>
      <c r="Q1115" s="1098"/>
      <c r="R1115" s="1098">
        <f>+(M1115/'Parametros Generales'!$C$9)</f>
        <v>0</v>
      </c>
      <c r="S1115" s="395"/>
      <c r="T1115" s="395"/>
      <c r="U1115" s="395"/>
      <c r="V1115" s="396"/>
      <c r="W1115" s="376">
        <f>+R1115*'Componentes T.H.'!$Q$9*'Parametros Generales'!$C$6</f>
        <v>0</v>
      </c>
      <c r="X1115" s="376">
        <f>(+VLOOKUP(C1115,'Transporte y Viaticos'!$B$87:$L$120,2,0)*'Parametros Generales'!$C$7*R1115)*(2/3)</f>
        <v>0</v>
      </c>
      <c r="Y1115" s="417"/>
      <c r="Z1115" s="417"/>
      <c r="AA1115" s="417"/>
      <c r="AB1115" s="417">
        <f>+M1115*'Parametros Generales'!$C$6*'Parametros Generales'!$J$9</f>
        <v>0</v>
      </c>
      <c r="AC1115" s="417">
        <f>+H1115*'Parametros Generales'!$J$10*'Parametros Generales'!$C$6*'Parametros Generales'!$C$11</f>
        <v>0</v>
      </c>
      <c r="AD1115" s="417"/>
      <c r="AE1115" s="417"/>
      <c r="AF1115" s="417"/>
      <c r="AG1115" s="417"/>
      <c r="AH1115" s="417"/>
      <c r="AI1115" s="417"/>
      <c r="AJ1115" s="417"/>
      <c r="AK1115" s="436"/>
      <c r="AL1115" s="822"/>
    </row>
    <row r="1116" spans="1:38" s="33" customFormat="1" hidden="1" outlineLevel="1">
      <c r="A1116" s="1150"/>
      <c r="B1116" s="823">
        <f t="shared" si="90"/>
        <v>81</v>
      </c>
      <c r="C1116" s="373" t="str">
        <f t="shared" si="91"/>
        <v>ARAUCA</v>
      </c>
      <c r="D1116" s="374"/>
      <c r="E1116" s="1113"/>
      <c r="F1116" s="1104"/>
      <c r="G1116" s="375"/>
      <c r="H1116" s="1062"/>
      <c r="I1116" s="1057"/>
      <c r="J1116" s="1058"/>
      <c r="K1116" s="1070" t="str">
        <f t="shared" si="88"/>
        <v>Ok</v>
      </c>
      <c r="L1116" s="1077">
        <f t="shared" si="89"/>
        <v>0</v>
      </c>
      <c r="M1116" s="1091">
        <f>+H1116/'Parametros Generales'!$C$8</f>
        <v>0</v>
      </c>
      <c r="N1116" s="1098"/>
      <c r="O1116" s="1098"/>
      <c r="P1116" s="1098"/>
      <c r="Q1116" s="1098"/>
      <c r="R1116" s="1098">
        <f>+(M1116/'Parametros Generales'!$C$9)</f>
        <v>0</v>
      </c>
      <c r="S1116" s="395"/>
      <c r="T1116" s="395"/>
      <c r="U1116" s="395"/>
      <c r="V1116" s="396"/>
      <c r="W1116" s="376">
        <f>+R1116*'Componentes T.H.'!$Q$9*'Parametros Generales'!$C$6</f>
        <v>0</v>
      </c>
      <c r="X1116" s="376">
        <f>(+VLOOKUP(C1116,'Transporte y Viaticos'!$B$87:$L$120,2,0)*'Parametros Generales'!$C$7*R1116)*(2/3)</f>
        <v>0</v>
      </c>
      <c r="Y1116" s="417"/>
      <c r="Z1116" s="417"/>
      <c r="AA1116" s="417"/>
      <c r="AB1116" s="417">
        <f>+M1116*'Parametros Generales'!$C$6*'Parametros Generales'!$J$9</f>
        <v>0</v>
      </c>
      <c r="AC1116" s="417">
        <f>+H1116*'Parametros Generales'!$J$10*'Parametros Generales'!$C$6*'Parametros Generales'!$C$11</f>
        <v>0</v>
      </c>
      <c r="AD1116" s="417"/>
      <c r="AE1116" s="417"/>
      <c r="AF1116" s="417"/>
      <c r="AG1116" s="417"/>
      <c r="AH1116" s="417"/>
      <c r="AI1116" s="417"/>
      <c r="AJ1116" s="417"/>
      <c r="AK1116" s="436"/>
      <c r="AL1116" s="822"/>
    </row>
    <row r="1117" spans="1:38" s="33" customFormat="1" hidden="1" outlineLevel="1">
      <c r="A1117" s="1150"/>
      <c r="B1117" s="823">
        <f t="shared" si="90"/>
        <v>81</v>
      </c>
      <c r="C1117" s="373" t="str">
        <f t="shared" si="91"/>
        <v>ARAUCA</v>
      </c>
      <c r="D1117" s="374"/>
      <c r="E1117" s="1113"/>
      <c r="F1117" s="1104"/>
      <c r="G1117" s="375"/>
      <c r="H1117" s="1062"/>
      <c r="I1117" s="1057"/>
      <c r="J1117" s="1058"/>
      <c r="K1117" s="1070" t="str">
        <f t="shared" si="88"/>
        <v>Ok</v>
      </c>
      <c r="L1117" s="1077">
        <f t="shared" si="89"/>
        <v>0</v>
      </c>
      <c r="M1117" s="1091">
        <f>+H1117/'Parametros Generales'!$C$8</f>
        <v>0</v>
      </c>
      <c r="N1117" s="1098"/>
      <c r="O1117" s="1098"/>
      <c r="P1117" s="1098"/>
      <c r="Q1117" s="1098"/>
      <c r="R1117" s="1098">
        <f>+(M1117/'Parametros Generales'!$C$9)</f>
        <v>0</v>
      </c>
      <c r="S1117" s="395"/>
      <c r="T1117" s="395"/>
      <c r="U1117" s="395"/>
      <c r="V1117" s="396"/>
      <c r="W1117" s="376">
        <f>+R1117*'Componentes T.H.'!$Q$9*'Parametros Generales'!$C$6</f>
        <v>0</v>
      </c>
      <c r="X1117" s="376">
        <f>(+VLOOKUP(C1117,'Transporte y Viaticos'!$B$87:$L$120,2,0)*'Parametros Generales'!$C$7*R1117)*(2/3)</f>
        <v>0</v>
      </c>
      <c r="Y1117" s="417"/>
      <c r="Z1117" s="417"/>
      <c r="AA1117" s="417"/>
      <c r="AB1117" s="417">
        <f>+M1117*'Parametros Generales'!$C$6*'Parametros Generales'!$J$9</f>
        <v>0</v>
      </c>
      <c r="AC1117" s="417">
        <f>+H1117*'Parametros Generales'!$J$10*'Parametros Generales'!$C$6*'Parametros Generales'!$C$11</f>
        <v>0</v>
      </c>
      <c r="AD1117" s="417"/>
      <c r="AE1117" s="417"/>
      <c r="AF1117" s="417"/>
      <c r="AG1117" s="417"/>
      <c r="AH1117" s="417"/>
      <c r="AI1117" s="417"/>
      <c r="AJ1117" s="417"/>
      <c r="AK1117" s="436"/>
      <c r="AL1117" s="822"/>
    </row>
    <row r="1118" spans="1:38" s="33" customFormat="1" hidden="1" outlineLevel="1">
      <c r="A1118" s="1150"/>
      <c r="B1118" s="823">
        <f t="shared" si="90"/>
        <v>81</v>
      </c>
      <c r="C1118" s="373" t="str">
        <f t="shared" si="91"/>
        <v>ARAUCA</v>
      </c>
      <c r="D1118" s="374"/>
      <c r="E1118" s="1113"/>
      <c r="F1118" s="1104"/>
      <c r="G1118" s="375"/>
      <c r="H1118" s="1062"/>
      <c r="I1118" s="1057"/>
      <c r="J1118" s="1058"/>
      <c r="K1118" s="1070" t="str">
        <f t="shared" si="88"/>
        <v>Ok</v>
      </c>
      <c r="L1118" s="1077">
        <f t="shared" si="89"/>
        <v>0</v>
      </c>
      <c r="M1118" s="1091">
        <f>+H1118/'Parametros Generales'!$C$8</f>
        <v>0</v>
      </c>
      <c r="N1118" s="1098"/>
      <c r="O1118" s="1098"/>
      <c r="P1118" s="1098"/>
      <c r="Q1118" s="1098"/>
      <c r="R1118" s="1098">
        <f>+(M1118/'Parametros Generales'!$C$9)</f>
        <v>0</v>
      </c>
      <c r="S1118" s="395"/>
      <c r="T1118" s="395"/>
      <c r="U1118" s="395"/>
      <c r="V1118" s="396"/>
      <c r="W1118" s="376">
        <f>+R1118*'Componentes T.H.'!$Q$9*'Parametros Generales'!$C$6</f>
        <v>0</v>
      </c>
      <c r="X1118" s="376">
        <f>(+VLOOKUP(C1118,'Transporte y Viaticos'!$B$87:$L$120,2,0)*'Parametros Generales'!$C$7*R1118)*(2/3)</f>
        <v>0</v>
      </c>
      <c r="Y1118" s="417"/>
      <c r="Z1118" s="417"/>
      <c r="AA1118" s="417"/>
      <c r="AB1118" s="417">
        <f>+M1118*'Parametros Generales'!$C$6*'Parametros Generales'!$J$9</f>
        <v>0</v>
      </c>
      <c r="AC1118" s="417">
        <f>+H1118*'Parametros Generales'!$J$10*'Parametros Generales'!$C$6*'Parametros Generales'!$C$11</f>
        <v>0</v>
      </c>
      <c r="AD1118" s="417"/>
      <c r="AE1118" s="417"/>
      <c r="AF1118" s="417"/>
      <c r="AG1118" s="417"/>
      <c r="AH1118" s="417"/>
      <c r="AI1118" s="417"/>
      <c r="AJ1118" s="417"/>
      <c r="AK1118" s="436"/>
      <c r="AL1118" s="822"/>
    </row>
    <row r="1119" spans="1:38" s="392" customFormat="1" collapsed="1">
      <c r="A1119" s="1151">
        <v>27</v>
      </c>
      <c r="B1119" s="824">
        <v>85</v>
      </c>
      <c r="C1119" s="385" t="s">
        <v>706</v>
      </c>
      <c r="D1119" s="386"/>
      <c r="E1119" s="1114" t="s">
        <v>706</v>
      </c>
      <c r="F1119" s="1105">
        <f>SUM(F1120:F1144)</f>
        <v>10</v>
      </c>
      <c r="G1119" s="388">
        <f>+SUM(G1120:G1129)</f>
        <v>2376</v>
      </c>
      <c r="H1119" s="512">
        <f>+SUM(H1120:H1144)</f>
        <v>2400</v>
      </c>
      <c r="I1119" s="1057" t="s">
        <v>706</v>
      </c>
      <c r="J1119" s="1067">
        <v>2400</v>
      </c>
      <c r="K1119" s="1069" t="str">
        <f t="shared" si="88"/>
        <v>Ok</v>
      </c>
      <c r="L1119" s="1077">
        <f t="shared" si="89"/>
        <v>0</v>
      </c>
      <c r="M1119" s="512">
        <f>+SUM(M1120:M1144)</f>
        <v>96</v>
      </c>
      <c r="N1119" s="1073">
        <f>+VLOOKUP(H1119,'Parametros Generales'!$B$14:$D$17,3,TRUE)</f>
        <v>0.6</v>
      </c>
      <c r="O1119" s="1073">
        <f>+VLOOKUP(H1119,'Parametros Generales'!$B$14:$D$17,3,TRUE)</f>
        <v>0.6</v>
      </c>
      <c r="P1119" s="1073">
        <f>+VLOOKUP(H1119,'Parametros Generales'!$B$14:$D$17,3,TRUE)</f>
        <v>0.6</v>
      </c>
      <c r="Q1119" s="1073">
        <f>+R1119/'Parametros Generales'!$C$10</f>
        <v>3</v>
      </c>
      <c r="R1119" s="512">
        <f>+SUM(R1120:R1144)</f>
        <v>24</v>
      </c>
      <c r="S1119" s="390">
        <f>+VLOOKUP(S$1,'Componentes T.H.'!$B$4:$R$22,'Componentes T.H.'!$Q$1,0)*'Parametros Generales'!$C$6*'Cost x Depart'!N1119</f>
        <v>8794058.4826000016</v>
      </c>
      <c r="T1119" s="390">
        <f>+VLOOKUP(T$1,'Componentes T.H.'!$B$4:$R$22,'Componentes T.H.'!$Q$1,0)*'Parametros Generales'!$C$6*'Cost x Depart'!O1119</f>
        <v>6626289.3953999998</v>
      </c>
      <c r="U1119" s="390">
        <f>+VLOOKUP(U$1,'Componentes T.H.'!$B$4:$R$22,'Componentes T.H.'!$Q$1,0)*'Parametros Generales'!$C$6*'Cost x Depart'!P1119</f>
        <v>2934259.1999999997</v>
      </c>
      <c r="V1119" s="389">
        <f>+VLOOKUP(V$1,'Componentes T.H.'!$B$4:$R$22,'Componentes T.H.'!$Q$1,0)*'Parametros Generales'!$C$6*'Cost x Depart'!Q1119</f>
        <v>29973142.603</v>
      </c>
      <c r="W1119" s="512">
        <f>+SUM(W1120:W1144)</f>
        <v>120444169.70400004</v>
      </c>
      <c r="X1119" s="512">
        <f>+SUM(X1120:X1144)</f>
        <v>16373281.125031916</v>
      </c>
      <c r="Y1119" s="391">
        <f>+VLOOKUP(C1120,'Transporte y Viaticos'!$B$87:$F$120,2,0)*((O1119/'Parametros Generales'!$J$14)+(Q1119/'Parametros Generales'!$J$15)+(R1119/'Parametros Generales'!$J$16))*'Parametros Generales'!$C$6</f>
        <v>798197.45484530588</v>
      </c>
      <c r="Z1119" s="391">
        <f>+(N1119+O1119+Q1119)*'Parametros Generales'!$C$6*'Parametros Generales'!$J$7</f>
        <v>825804</v>
      </c>
      <c r="AA1119" s="391">
        <f>+SUM(N1119:R1119)*'Parametros Generales'!$C$6*'Parametros Generales'!$J$8</f>
        <v>5169600</v>
      </c>
      <c r="AB1119" s="512">
        <f>+SUM(AB1120:AB1144)</f>
        <v>46743272.727272727</v>
      </c>
      <c r="AC1119" s="512">
        <f>+SUM(AC1120:AC1144)</f>
        <v>176861985.20881951</v>
      </c>
      <c r="AD1119" s="391">
        <f>+'Parametros Generales'!$J$11*SUM(N1119:R1119)</f>
        <v>968832</v>
      </c>
      <c r="AE1119" s="436">
        <f>+SUM(S1119:AD1119)</f>
        <v>416512891.90096951</v>
      </c>
      <c r="AF1119" s="391">
        <f>+AE1119*(SUM('Res de Costos Pais'!G117:G117))</f>
        <v>28531133.095216412</v>
      </c>
      <c r="AG1119" s="391">
        <f>+AE1119+AF1119</f>
        <v>445044024.9961859</v>
      </c>
      <c r="AH1119" s="391">
        <f>+AG1119*SUM('Res de Costos Pais'!$G$123:$G$124)</f>
        <v>4299125.2814631555</v>
      </c>
      <c r="AI1119" s="391">
        <f>+(AG1119+AH1119)*'Res de Costos Pais'!$G$136</f>
        <v>1213226.5057496524</v>
      </c>
      <c r="AJ1119" s="391">
        <f>+(AG1119+AH1119+AI1119)*'Res de Costos Pais'!$G$140</f>
        <v>1802225.5071335947</v>
      </c>
      <c r="AK1119" s="391">
        <f>+AG1119+AH1119+AI1119+AJ1119</f>
        <v>452358602.29053229</v>
      </c>
      <c r="AL1119" s="820">
        <f>IF(ISERROR((+(AK1119/H1119)/'Parametros Generales'!$C$6)),0,(+(AK1119/H1119)/'Parametros Generales'!$C$6))</f>
        <v>37696.550190877693</v>
      </c>
    </row>
    <row r="1120" spans="1:38" s="33" customFormat="1" hidden="1" outlineLevel="1">
      <c r="A1120" s="1150"/>
      <c r="B1120" s="819">
        <v>85</v>
      </c>
      <c r="C1120" s="377" t="s">
        <v>706</v>
      </c>
      <c r="D1120" s="378">
        <f>+VLOOKUP(E1120,Codigos!$A$1:$B$1123,2,0)</f>
        <v>85001</v>
      </c>
      <c r="E1120" s="1110" t="s">
        <v>2280</v>
      </c>
      <c r="F1120" s="1102">
        <v>1</v>
      </c>
      <c r="G1120" s="379">
        <v>594</v>
      </c>
      <c r="H1120" s="1060">
        <f>CEILING(G1120,'Parametros Generales'!$C$8)</f>
        <v>600</v>
      </c>
      <c r="I1120" s="1057" t="s">
        <v>707</v>
      </c>
      <c r="J1120" s="1058">
        <v>600</v>
      </c>
      <c r="K1120" s="1070" t="str">
        <f t="shared" si="88"/>
        <v>Ok</v>
      </c>
      <c r="L1120" s="1077">
        <f t="shared" si="89"/>
        <v>0</v>
      </c>
      <c r="M1120" s="1089">
        <f>+H1120/'Parametros Generales'!$C$8</f>
        <v>24</v>
      </c>
      <c r="N1120" s="1096"/>
      <c r="O1120" s="1096"/>
      <c r="P1120" s="1096"/>
      <c r="Q1120" s="1096"/>
      <c r="R1120" s="1096">
        <f>+(M1120/'Parametros Generales'!$C$9)</f>
        <v>6</v>
      </c>
      <c r="S1120" s="393"/>
      <c r="T1120" s="393"/>
      <c r="U1120" s="393"/>
      <c r="V1120" s="394"/>
      <c r="W1120" s="380">
        <f>+R1120*'Componentes T.H.'!$Q$9*'Parametros Generales'!$C$6</f>
        <v>30111042.425999999</v>
      </c>
      <c r="X1120" s="380">
        <f>(+VLOOKUP(C1120,'Transporte y Viaticos'!$B$87:$L$120,2,0)*'Parametros Generales'!$C$7*R1120)*(2/3)</f>
        <v>4093320.2812579782</v>
      </c>
      <c r="Y1120" s="417"/>
      <c r="Z1120" s="417"/>
      <c r="AA1120" s="417"/>
      <c r="AB1120" s="417">
        <f>+M1120*'Parametros Generales'!$C$6*'Parametros Generales'!$J$9</f>
        <v>11685818.181818185</v>
      </c>
      <c r="AC1120" s="417">
        <f>+H1120*'Parametros Generales'!$J$10*'Parametros Generales'!$C$6*'Parametros Generales'!$C$11</f>
        <v>44215496.302204885</v>
      </c>
      <c r="AD1120" s="417"/>
      <c r="AE1120" s="417"/>
      <c r="AF1120" s="417"/>
      <c r="AG1120" s="417"/>
      <c r="AH1120" s="417"/>
      <c r="AI1120" s="417"/>
      <c r="AJ1120" s="417"/>
      <c r="AK1120" s="436"/>
      <c r="AL1120" s="822"/>
    </row>
    <row r="1121" spans="1:38" s="33" customFormat="1" hidden="1" outlineLevel="1">
      <c r="A1121" s="1150"/>
      <c r="B1121" s="821">
        <v>85</v>
      </c>
      <c r="C1121" s="371" t="s">
        <v>706</v>
      </c>
      <c r="D1121" s="31">
        <f>+VLOOKUP(E1121,Codigos!$A$1:$B$1123,2,0)</f>
        <v>85010</v>
      </c>
      <c r="E1121" s="1111" t="s">
        <v>2281</v>
      </c>
      <c r="F1121" s="1103">
        <v>1</v>
      </c>
      <c r="G1121" s="30">
        <v>198</v>
      </c>
      <c r="H1121" s="1061">
        <f>CEILING(G1121,'Parametros Generales'!$C$8)</f>
        <v>200</v>
      </c>
      <c r="I1121" s="1057" t="s">
        <v>708</v>
      </c>
      <c r="J1121" s="1058">
        <v>200</v>
      </c>
      <c r="K1121" s="1070" t="str">
        <f t="shared" si="88"/>
        <v>Ok</v>
      </c>
      <c r="L1121" s="1077">
        <f t="shared" si="89"/>
        <v>0</v>
      </c>
      <c r="M1121" s="1090">
        <f>+H1121/'Parametros Generales'!$C$8</f>
        <v>8</v>
      </c>
      <c r="N1121" s="1097"/>
      <c r="O1121" s="1097"/>
      <c r="P1121" s="1097"/>
      <c r="Q1121" s="1097"/>
      <c r="R1121" s="1097">
        <f>+(M1121/'Parametros Generales'!$C$9)</f>
        <v>2</v>
      </c>
      <c r="S1121" s="390"/>
      <c r="T1121" s="390"/>
      <c r="U1121" s="390"/>
      <c r="V1121" s="389"/>
      <c r="W1121" s="32">
        <f>+R1121*'Componentes T.H.'!$Q$9*'Parametros Generales'!$C$6</f>
        <v>10037014.142000001</v>
      </c>
      <c r="X1121" s="32">
        <f>(+VLOOKUP(C1121,'Transporte y Viaticos'!$B$87:$L$120,2,0)*'Parametros Generales'!$C$7*R1121)*(2/3)</f>
        <v>1364440.0937526594</v>
      </c>
      <c r="Y1121" s="417"/>
      <c r="Z1121" s="417"/>
      <c r="AA1121" s="417"/>
      <c r="AB1121" s="417">
        <f>+M1121*'Parametros Generales'!$C$6*'Parametros Generales'!$J$9</f>
        <v>3895272.7272727285</v>
      </c>
      <c r="AC1121" s="417">
        <f>+H1121*'Parametros Generales'!$J$10*'Parametros Generales'!$C$6*'Parametros Generales'!$C$11</f>
        <v>14738498.767401624</v>
      </c>
      <c r="AD1121" s="417"/>
      <c r="AE1121" s="417"/>
      <c r="AF1121" s="417"/>
      <c r="AG1121" s="417"/>
      <c r="AH1121" s="417"/>
      <c r="AI1121" s="417"/>
      <c r="AJ1121" s="417"/>
      <c r="AK1121" s="436"/>
      <c r="AL1121" s="822"/>
    </row>
    <row r="1122" spans="1:38" s="33" customFormat="1" hidden="1" outlineLevel="1">
      <c r="A1122" s="1150"/>
      <c r="B1122" s="821">
        <v>85</v>
      </c>
      <c r="C1122" s="371" t="s">
        <v>706</v>
      </c>
      <c r="D1122" s="31">
        <f>+VLOOKUP(E1122,Codigos!$A$1:$B$1123,2,0)</f>
        <v>85015</v>
      </c>
      <c r="E1122" s="1111" t="s">
        <v>2282</v>
      </c>
      <c r="F1122" s="1103">
        <v>1</v>
      </c>
      <c r="G1122" s="30">
        <v>198</v>
      </c>
      <c r="H1122" s="1061">
        <f>CEILING(G1122,'Parametros Generales'!$C$8)</f>
        <v>200</v>
      </c>
      <c r="I1122" s="1057" t="s">
        <v>709</v>
      </c>
      <c r="J1122" s="1058">
        <v>200</v>
      </c>
      <c r="K1122" s="1070" t="str">
        <f t="shared" si="88"/>
        <v>Ok</v>
      </c>
      <c r="L1122" s="1076">
        <f t="shared" si="89"/>
        <v>0</v>
      </c>
      <c r="M1122" s="1090">
        <f>+H1122/'Parametros Generales'!$C$8</f>
        <v>8</v>
      </c>
      <c r="N1122" s="1097"/>
      <c r="O1122" s="1097"/>
      <c r="P1122" s="1097"/>
      <c r="Q1122" s="1097"/>
      <c r="R1122" s="1097">
        <f>+(M1122/'Parametros Generales'!$C$9)</f>
        <v>2</v>
      </c>
      <c r="S1122" s="390"/>
      <c r="T1122" s="390"/>
      <c r="U1122" s="390"/>
      <c r="V1122" s="389"/>
      <c r="W1122" s="32">
        <f>+R1122*'Componentes T.H.'!$Q$9*'Parametros Generales'!$C$6</f>
        <v>10037014.142000001</v>
      </c>
      <c r="X1122" s="32">
        <f>(+VLOOKUP(C1122,'Transporte y Viaticos'!$B$87:$L$120,2,0)*'Parametros Generales'!$C$7*R1122)*(2/3)</f>
        <v>1364440.0937526594</v>
      </c>
      <c r="Y1122" s="417"/>
      <c r="Z1122" s="417"/>
      <c r="AA1122" s="417"/>
      <c r="AB1122" s="417">
        <f>+M1122*'Parametros Generales'!$C$6*'Parametros Generales'!$J$9</f>
        <v>3895272.7272727285</v>
      </c>
      <c r="AC1122" s="417">
        <f>+H1122*'Parametros Generales'!$J$10*'Parametros Generales'!$C$6*'Parametros Generales'!$C$11</f>
        <v>14738498.767401624</v>
      </c>
      <c r="AD1122" s="417"/>
      <c r="AE1122" s="417"/>
      <c r="AF1122" s="417"/>
      <c r="AG1122" s="417"/>
      <c r="AH1122" s="417"/>
      <c r="AI1122" s="417"/>
      <c r="AJ1122" s="417"/>
      <c r="AK1122" s="436"/>
      <c r="AL1122" s="822"/>
    </row>
    <row r="1123" spans="1:38" s="33" customFormat="1" hidden="1" outlineLevel="1">
      <c r="A1123" s="1150"/>
      <c r="B1123" s="821">
        <v>85</v>
      </c>
      <c r="C1123" s="371" t="s">
        <v>706</v>
      </c>
      <c r="D1123" s="31">
        <f>+VLOOKUP(E1123,Codigos!$A$1:$B$1123,2,0)</f>
        <v>85139</v>
      </c>
      <c r="E1123" s="1111" t="s">
        <v>2283</v>
      </c>
      <c r="F1123" s="1103">
        <v>1</v>
      </c>
      <c r="G1123" s="30">
        <v>198</v>
      </c>
      <c r="H1123" s="1061">
        <f>CEILING(G1123,'Parametros Generales'!$C$8)</f>
        <v>200</v>
      </c>
      <c r="I1123" s="1057" t="s">
        <v>710</v>
      </c>
      <c r="J1123" s="1058">
        <v>200</v>
      </c>
      <c r="K1123" s="1070" t="str">
        <f t="shared" si="88"/>
        <v>Ok</v>
      </c>
      <c r="L1123" s="1077">
        <f t="shared" si="89"/>
        <v>0</v>
      </c>
      <c r="M1123" s="1090">
        <f>+H1123/'Parametros Generales'!$C$8</f>
        <v>8</v>
      </c>
      <c r="N1123" s="1097"/>
      <c r="O1123" s="1097"/>
      <c r="P1123" s="1097"/>
      <c r="Q1123" s="1097"/>
      <c r="R1123" s="1097">
        <f>+(M1123/'Parametros Generales'!$C$9)</f>
        <v>2</v>
      </c>
      <c r="S1123" s="390"/>
      <c r="T1123" s="390"/>
      <c r="U1123" s="390"/>
      <c r="V1123" s="389"/>
      <c r="W1123" s="32">
        <f>+R1123*'Componentes T.H.'!$Q$9*'Parametros Generales'!$C$6</f>
        <v>10037014.142000001</v>
      </c>
      <c r="X1123" s="32">
        <f>(+VLOOKUP(C1123,'Transporte y Viaticos'!$B$87:$L$120,2,0)*'Parametros Generales'!$C$7*R1123)*(2/3)</f>
        <v>1364440.0937526594</v>
      </c>
      <c r="Y1123" s="417"/>
      <c r="Z1123" s="417"/>
      <c r="AA1123" s="417"/>
      <c r="AB1123" s="417">
        <f>+M1123*'Parametros Generales'!$C$6*'Parametros Generales'!$J$9</f>
        <v>3895272.7272727285</v>
      </c>
      <c r="AC1123" s="417">
        <f>+H1123*'Parametros Generales'!$J$10*'Parametros Generales'!$C$6*'Parametros Generales'!$C$11</f>
        <v>14738498.767401624</v>
      </c>
      <c r="AD1123" s="417"/>
      <c r="AE1123" s="417"/>
      <c r="AF1123" s="417"/>
      <c r="AG1123" s="417"/>
      <c r="AH1123" s="417"/>
      <c r="AI1123" s="417"/>
      <c r="AJ1123" s="417"/>
      <c r="AK1123" s="436"/>
      <c r="AL1123" s="822"/>
    </row>
    <row r="1124" spans="1:38" s="33" customFormat="1" hidden="1" outlineLevel="1">
      <c r="A1124" s="1150"/>
      <c r="B1124" s="821">
        <v>85</v>
      </c>
      <c r="C1124" s="371" t="s">
        <v>706</v>
      </c>
      <c r="D1124" s="31">
        <f>+VLOOKUP(E1124,Codigos!$A$1:$B$1123,2,0)</f>
        <v>85162</v>
      </c>
      <c r="E1124" s="1111" t="s">
        <v>2284</v>
      </c>
      <c r="F1124" s="1103">
        <v>1</v>
      </c>
      <c r="G1124" s="30">
        <v>198</v>
      </c>
      <c r="H1124" s="1061">
        <f>CEILING(G1124,'Parametros Generales'!$C$8)</f>
        <v>200</v>
      </c>
      <c r="I1124" s="1057" t="s">
        <v>711</v>
      </c>
      <c r="J1124" s="1058">
        <v>200</v>
      </c>
      <c r="K1124" s="1070" t="str">
        <f t="shared" si="88"/>
        <v>Ok</v>
      </c>
      <c r="L1124" s="1077">
        <f t="shared" si="89"/>
        <v>0</v>
      </c>
      <c r="M1124" s="1090">
        <f>+H1124/'Parametros Generales'!$C$8</f>
        <v>8</v>
      </c>
      <c r="N1124" s="1097"/>
      <c r="O1124" s="1097"/>
      <c r="P1124" s="1097"/>
      <c r="Q1124" s="1097"/>
      <c r="R1124" s="1097">
        <f>+(M1124/'Parametros Generales'!$C$9)</f>
        <v>2</v>
      </c>
      <c r="S1124" s="390"/>
      <c r="T1124" s="390"/>
      <c r="U1124" s="390"/>
      <c r="V1124" s="389"/>
      <c r="W1124" s="32">
        <f>+R1124*'Componentes T.H.'!$Q$9*'Parametros Generales'!$C$6</f>
        <v>10037014.142000001</v>
      </c>
      <c r="X1124" s="32">
        <f>(+VLOOKUP(C1124,'Transporte y Viaticos'!$B$87:$L$120,2,0)*'Parametros Generales'!$C$7*R1124)*(2/3)</f>
        <v>1364440.0937526594</v>
      </c>
      <c r="Y1124" s="417"/>
      <c r="Z1124" s="417"/>
      <c r="AA1124" s="417"/>
      <c r="AB1124" s="417">
        <f>+M1124*'Parametros Generales'!$C$6*'Parametros Generales'!$J$9</f>
        <v>3895272.7272727285</v>
      </c>
      <c r="AC1124" s="417">
        <f>+H1124*'Parametros Generales'!$J$10*'Parametros Generales'!$C$6*'Parametros Generales'!$C$11</f>
        <v>14738498.767401624</v>
      </c>
      <c r="AD1124" s="417"/>
      <c r="AE1124" s="417"/>
      <c r="AF1124" s="417"/>
      <c r="AG1124" s="417"/>
      <c r="AH1124" s="417"/>
      <c r="AI1124" s="417"/>
      <c r="AJ1124" s="417"/>
      <c r="AK1124" s="436"/>
      <c r="AL1124" s="822"/>
    </row>
    <row r="1125" spans="1:38" s="33" customFormat="1" hidden="1" outlineLevel="1">
      <c r="A1125" s="1150"/>
      <c r="B1125" s="821">
        <v>85</v>
      </c>
      <c r="C1125" s="371" t="s">
        <v>706</v>
      </c>
      <c r="D1125" s="31">
        <f>+VLOOKUP(E1125,Codigos!$A$1:$B$1123,2,0)</f>
        <v>85250</v>
      </c>
      <c r="E1125" s="1111" t="s">
        <v>2285</v>
      </c>
      <c r="F1125" s="1103">
        <v>1</v>
      </c>
      <c r="G1125" s="30">
        <v>198</v>
      </c>
      <c r="H1125" s="1061">
        <f>CEILING(G1125,'Parametros Generales'!$C$8)</f>
        <v>200</v>
      </c>
      <c r="I1125" s="1057" t="s">
        <v>712</v>
      </c>
      <c r="J1125" s="1058">
        <v>200</v>
      </c>
      <c r="K1125" s="1070" t="str">
        <f t="shared" si="88"/>
        <v>Ok</v>
      </c>
      <c r="L1125" s="1077">
        <f t="shared" si="89"/>
        <v>0</v>
      </c>
      <c r="M1125" s="1090">
        <f>+H1125/'Parametros Generales'!$C$8</f>
        <v>8</v>
      </c>
      <c r="N1125" s="1097"/>
      <c r="O1125" s="1097"/>
      <c r="P1125" s="1097"/>
      <c r="Q1125" s="1097"/>
      <c r="R1125" s="1097">
        <f>+(M1125/'Parametros Generales'!$C$9)</f>
        <v>2</v>
      </c>
      <c r="S1125" s="390"/>
      <c r="T1125" s="390"/>
      <c r="U1125" s="390"/>
      <c r="V1125" s="389"/>
      <c r="W1125" s="32">
        <f>+R1125*'Componentes T.H.'!$Q$9*'Parametros Generales'!$C$6</f>
        <v>10037014.142000001</v>
      </c>
      <c r="X1125" s="32">
        <f>(+VLOOKUP(C1125,'Transporte y Viaticos'!$B$87:$L$120,2,0)*'Parametros Generales'!$C$7*R1125)*(2/3)</f>
        <v>1364440.0937526594</v>
      </c>
      <c r="Y1125" s="417"/>
      <c r="Z1125" s="417"/>
      <c r="AA1125" s="417"/>
      <c r="AB1125" s="417">
        <f>+M1125*'Parametros Generales'!$C$6*'Parametros Generales'!$J$9</f>
        <v>3895272.7272727285</v>
      </c>
      <c r="AC1125" s="417">
        <f>+H1125*'Parametros Generales'!$J$10*'Parametros Generales'!$C$6*'Parametros Generales'!$C$11</f>
        <v>14738498.767401624</v>
      </c>
      <c r="AD1125" s="417"/>
      <c r="AE1125" s="417"/>
      <c r="AF1125" s="417"/>
      <c r="AG1125" s="417"/>
      <c r="AH1125" s="417"/>
      <c r="AI1125" s="417"/>
      <c r="AJ1125" s="417"/>
      <c r="AK1125" s="436"/>
      <c r="AL1125" s="822"/>
    </row>
    <row r="1126" spans="1:38" s="33" customFormat="1" hidden="1" outlineLevel="1">
      <c r="A1126" s="1150"/>
      <c r="B1126" s="821">
        <v>85</v>
      </c>
      <c r="C1126" s="371" t="s">
        <v>706</v>
      </c>
      <c r="D1126" s="31">
        <f>+VLOOKUP(E1126,Codigos!$A$1:$B$1123,2,0)</f>
        <v>85263</v>
      </c>
      <c r="E1126" s="1111" t="s">
        <v>2286</v>
      </c>
      <c r="F1126" s="1103">
        <v>1</v>
      </c>
      <c r="G1126" s="30">
        <v>198</v>
      </c>
      <c r="H1126" s="1061">
        <f>CEILING(G1126,'Parametros Generales'!$C$8)</f>
        <v>200</v>
      </c>
      <c r="I1126" s="1057" t="s">
        <v>713</v>
      </c>
      <c r="J1126" s="1058">
        <v>200</v>
      </c>
      <c r="K1126" s="1070" t="str">
        <f t="shared" si="88"/>
        <v>Ok</v>
      </c>
      <c r="L1126" s="1077">
        <f t="shared" si="89"/>
        <v>0</v>
      </c>
      <c r="M1126" s="1090">
        <f>+H1126/'Parametros Generales'!$C$8</f>
        <v>8</v>
      </c>
      <c r="N1126" s="1097"/>
      <c r="O1126" s="1097"/>
      <c r="P1126" s="1097"/>
      <c r="Q1126" s="1097"/>
      <c r="R1126" s="1097">
        <f>+(M1126/'Parametros Generales'!$C$9)</f>
        <v>2</v>
      </c>
      <c r="S1126" s="390"/>
      <c r="T1126" s="390"/>
      <c r="U1126" s="390"/>
      <c r="V1126" s="389"/>
      <c r="W1126" s="32">
        <f>+R1126*'Componentes T.H.'!$Q$9*'Parametros Generales'!$C$6</f>
        <v>10037014.142000001</v>
      </c>
      <c r="X1126" s="32">
        <f>(+VLOOKUP(C1126,'Transporte y Viaticos'!$B$87:$L$120,2,0)*'Parametros Generales'!$C$7*R1126)*(2/3)</f>
        <v>1364440.0937526594</v>
      </c>
      <c r="Y1126" s="417"/>
      <c r="Z1126" s="417"/>
      <c r="AA1126" s="417"/>
      <c r="AB1126" s="417">
        <f>+M1126*'Parametros Generales'!$C$6*'Parametros Generales'!$J$9</f>
        <v>3895272.7272727285</v>
      </c>
      <c r="AC1126" s="417">
        <f>+H1126*'Parametros Generales'!$J$10*'Parametros Generales'!$C$6*'Parametros Generales'!$C$11</f>
        <v>14738498.767401624</v>
      </c>
      <c r="AD1126" s="417"/>
      <c r="AE1126" s="417"/>
      <c r="AF1126" s="417"/>
      <c r="AG1126" s="417"/>
      <c r="AH1126" s="417"/>
      <c r="AI1126" s="417"/>
      <c r="AJ1126" s="417"/>
      <c r="AK1126" s="436"/>
      <c r="AL1126" s="822"/>
    </row>
    <row r="1127" spans="1:38" s="33" customFormat="1" hidden="1" outlineLevel="1">
      <c r="A1127" s="1150"/>
      <c r="B1127" s="821">
        <v>85</v>
      </c>
      <c r="C1127" s="371" t="s">
        <v>706</v>
      </c>
      <c r="D1127" s="31">
        <f>+VLOOKUP(E1127,Codigos!$A$1:$B$1123,2,0)</f>
        <v>85410</v>
      </c>
      <c r="E1127" s="1111" t="s">
        <v>2287</v>
      </c>
      <c r="F1127" s="1103">
        <v>1</v>
      </c>
      <c r="G1127" s="30">
        <v>198</v>
      </c>
      <c r="H1127" s="1061">
        <f>CEILING(G1127,'Parametros Generales'!$C$8)</f>
        <v>200</v>
      </c>
      <c r="I1127" s="1057" t="s">
        <v>714</v>
      </c>
      <c r="J1127" s="1058">
        <v>200</v>
      </c>
      <c r="K1127" s="1070" t="str">
        <f t="shared" si="88"/>
        <v>Ok</v>
      </c>
      <c r="L1127" s="1077">
        <f t="shared" si="89"/>
        <v>0</v>
      </c>
      <c r="M1127" s="1090">
        <f>+H1127/'Parametros Generales'!$C$8</f>
        <v>8</v>
      </c>
      <c r="N1127" s="1097"/>
      <c r="O1127" s="1097"/>
      <c r="P1127" s="1097"/>
      <c r="Q1127" s="1097"/>
      <c r="R1127" s="1097">
        <f>+(M1127/'Parametros Generales'!$C$9)</f>
        <v>2</v>
      </c>
      <c r="S1127" s="390"/>
      <c r="T1127" s="390"/>
      <c r="U1127" s="390"/>
      <c r="V1127" s="389"/>
      <c r="W1127" s="32">
        <f>+R1127*'Componentes T.H.'!$Q$9*'Parametros Generales'!$C$6</f>
        <v>10037014.142000001</v>
      </c>
      <c r="X1127" s="32">
        <f>(+VLOOKUP(C1127,'Transporte y Viaticos'!$B$87:$L$120,2,0)*'Parametros Generales'!$C$7*R1127)*(2/3)</f>
        <v>1364440.0937526594</v>
      </c>
      <c r="Y1127" s="417"/>
      <c r="Z1127" s="417"/>
      <c r="AA1127" s="417"/>
      <c r="AB1127" s="417">
        <f>+M1127*'Parametros Generales'!$C$6*'Parametros Generales'!$J$9</f>
        <v>3895272.7272727285</v>
      </c>
      <c r="AC1127" s="417">
        <f>+H1127*'Parametros Generales'!$J$10*'Parametros Generales'!$C$6*'Parametros Generales'!$C$11</f>
        <v>14738498.767401624</v>
      </c>
      <c r="AD1127" s="417"/>
      <c r="AE1127" s="417"/>
      <c r="AF1127" s="417"/>
      <c r="AG1127" s="417"/>
      <c r="AH1127" s="417"/>
      <c r="AI1127" s="417"/>
      <c r="AJ1127" s="417"/>
      <c r="AK1127" s="436"/>
      <c r="AL1127" s="822"/>
    </row>
    <row r="1128" spans="1:38" s="33" customFormat="1" hidden="1" outlineLevel="1">
      <c r="A1128" s="1150"/>
      <c r="B1128" s="821">
        <v>85</v>
      </c>
      <c r="C1128" s="371" t="s">
        <v>706</v>
      </c>
      <c r="D1128" s="31">
        <f>+VLOOKUP(E1128,Codigos!$A$1:$B$1123,2,0)</f>
        <v>85430</v>
      </c>
      <c r="E1128" s="1111" t="s">
        <v>2288</v>
      </c>
      <c r="F1128" s="1103">
        <v>1</v>
      </c>
      <c r="G1128" s="30">
        <v>198</v>
      </c>
      <c r="H1128" s="1061">
        <f>CEILING(G1128,'Parametros Generales'!$C$8)</f>
        <v>200</v>
      </c>
      <c r="I1128" s="1057" t="s">
        <v>715</v>
      </c>
      <c r="J1128" s="1058">
        <v>200</v>
      </c>
      <c r="K1128" s="1070" t="str">
        <f t="shared" si="88"/>
        <v>Ok</v>
      </c>
      <c r="L1128" s="1077">
        <f t="shared" si="89"/>
        <v>0</v>
      </c>
      <c r="M1128" s="1090">
        <f>+H1128/'Parametros Generales'!$C$8</f>
        <v>8</v>
      </c>
      <c r="N1128" s="1097"/>
      <c r="O1128" s="1097"/>
      <c r="P1128" s="1097"/>
      <c r="Q1128" s="1097"/>
      <c r="R1128" s="1097">
        <f>+(M1128/'Parametros Generales'!$C$9)</f>
        <v>2</v>
      </c>
      <c r="S1128" s="390"/>
      <c r="T1128" s="390"/>
      <c r="U1128" s="390"/>
      <c r="V1128" s="389"/>
      <c r="W1128" s="32">
        <f>+R1128*'Componentes T.H.'!$Q$9*'Parametros Generales'!$C$6</f>
        <v>10037014.142000001</v>
      </c>
      <c r="X1128" s="32">
        <f>(+VLOOKUP(C1128,'Transporte y Viaticos'!$B$87:$L$120,2,0)*'Parametros Generales'!$C$7*R1128)*(2/3)</f>
        <v>1364440.0937526594</v>
      </c>
      <c r="Y1128" s="417"/>
      <c r="Z1128" s="417"/>
      <c r="AA1128" s="417"/>
      <c r="AB1128" s="417">
        <f>+M1128*'Parametros Generales'!$C$6*'Parametros Generales'!$J$9</f>
        <v>3895272.7272727285</v>
      </c>
      <c r="AC1128" s="417">
        <f>+H1128*'Parametros Generales'!$J$10*'Parametros Generales'!$C$6*'Parametros Generales'!$C$11</f>
        <v>14738498.767401624</v>
      </c>
      <c r="AD1128" s="417"/>
      <c r="AE1128" s="417"/>
      <c r="AF1128" s="417"/>
      <c r="AG1128" s="417"/>
      <c r="AH1128" s="417"/>
      <c r="AI1128" s="417"/>
      <c r="AJ1128" s="417"/>
      <c r="AK1128" s="436"/>
      <c r="AL1128" s="822"/>
    </row>
    <row r="1129" spans="1:38" s="33" customFormat="1" hidden="1" outlineLevel="1">
      <c r="A1129" s="1150"/>
      <c r="B1129" s="823">
        <v>85</v>
      </c>
      <c r="C1129" s="373" t="s">
        <v>706</v>
      </c>
      <c r="D1129" s="374">
        <f>+VLOOKUP(E1129,Codigos!$A$1:$B$1123,2,0)</f>
        <v>85440</v>
      </c>
      <c r="E1129" s="1113" t="s">
        <v>2289</v>
      </c>
      <c r="F1129" s="1104">
        <v>1</v>
      </c>
      <c r="G1129" s="375">
        <v>198</v>
      </c>
      <c r="H1129" s="1062">
        <f>CEILING(G1129,'Parametros Generales'!$C$8)</f>
        <v>200</v>
      </c>
      <c r="I1129" s="1057" t="s">
        <v>716</v>
      </c>
      <c r="J1129" s="1058">
        <v>200</v>
      </c>
      <c r="K1129" s="1070" t="str">
        <f t="shared" si="88"/>
        <v>Ok</v>
      </c>
      <c r="L1129" s="1077">
        <f t="shared" si="89"/>
        <v>0</v>
      </c>
      <c r="M1129" s="1091">
        <f>+H1129/'Parametros Generales'!$C$8</f>
        <v>8</v>
      </c>
      <c r="N1129" s="1098"/>
      <c r="O1129" s="1098"/>
      <c r="P1129" s="1098"/>
      <c r="Q1129" s="1098"/>
      <c r="R1129" s="1098">
        <f>+(M1129/'Parametros Generales'!$C$9)</f>
        <v>2</v>
      </c>
      <c r="S1129" s="395"/>
      <c r="T1129" s="395"/>
      <c r="U1129" s="395"/>
      <c r="V1129" s="396"/>
      <c r="W1129" s="376">
        <f>+R1129*'Componentes T.H.'!$Q$9*'Parametros Generales'!$C$6</f>
        <v>10037014.142000001</v>
      </c>
      <c r="X1129" s="376">
        <f>(+VLOOKUP(C1129,'Transporte y Viaticos'!$B$87:$L$120,2,0)*'Parametros Generales'!$C$7*R1129)*(2/3)</f>
        <v>1364440.0937526594</v>
      </c>
      <c r="Y1129" s="417"/>
      <c r="Z1129" s="417"/>
      <c r="AA1129" s="417"/>
      <c r="AB1129" s="417">
        <f>+M1129*'Parametros Generales'!$C$6*'Parametros Generales'!$J$9</f>
        <v>3895272.7272727285</v>
      </c>
      <c r="AC1129" s="417">
        <f>+H1129*'Parametros Generales'!$J$10*'Parametros Generales'!$C$6*'Parametros Generales'!$C$11</f>
        <v>14738498.767401624</v>
      </c>
      <c r="AD1129" s="417"/>
      <c r="AE1129" s="417"/>
      <c r="AF1129" s="417"/>
      <c r="AG1129" s="417"/>
      <c r="AH1129" s="417"/>
      <c r="AI1129" s="417"/>
      <c r="AJ1129" s="417"/>
      <c r="AK1129" s="436"/>
      <c r="AL1129" s="822"/>
    </row>
    <row r="1130" spans="1:38" s="33" customFormat="1" hidden="1" outlineLevel="1">
      <c r="A1130" s="1150"/>
      <c r="B1130" s="823">
        <f t="shared" ref="B1130:B1144" si="92">+B1129</f>
        <v>85</v>
      </c>
      <c r="C1130" s="373" t="str">
        <f t="shared" ref="C1130:C1144" si="93">+C1129</f>
        <v>CASANARE</v>
      </c>
      <c r="D1130" s="374"/>
      <c r="E1130" s="1113"/>
      <c r="F1130" s="1104"/>
      <c r="G1130" s="375"/>
      <c r="H1130" s="1062"/>
      <c r="I1130" s="1057"/>
      <c r="J1130" s="1058"/>
      <c r="K1130" s="1070" t="str">
        <f t="shared" si="88"/>
        <v>Ok</v>
      </c>
      <c r="L1130" s="1077">
        <f t="shared" si="89"/>
        <v>0</v>
      </c>
      <c r="M1130" s="1091">
        <f>+H1130/'Parametros Generales'!$C$8</f>
        <v>0</v>
      </c>
      <c r="N1130" s="1098"/>
      <c r="O1130" s="1098"/>
      <c r="P1130" s="1098"/>
      <c r="Q1130" s="1098"/>
      <c r="R1130" s="1098">
        <f>+(M1130/'Parametros Generales'!$C$9)</f>
        <v>0</v>
      </c>
      <c r="S1130" s="395"/>
      <c r="T1130" s="395"/>
      <c r="U1130" s="395"/>
      <c r="V1130" s="396"/>
      <c r="W1130" s="376">
        <f>+R1130*'Componentes T.H.'!$Q$9*'Parametros Generales'!$C$6</f>
        <v>0</v>
      </c>
      <c r="X1130" s="376">
        <f>(+VLOOKUP(C1130,'Transporte y Viaticos'!$B$87:$L$120,2,0)*'Parametros Generales'!$C$7*R1130)*(2/3)</f>
        <v>0</v>
      </c>
      <c r="Y1130" s="417"/>
      <c r="Z1130" s="417"/>
      <c r="AA1130" s="417"/>
      <c r="AB1130" s="417">
        <f>+M1130*'Parametros Generales'!$C$6*'Parametros Generales'!$J$9</f>
        <v>0</v>
      </c>
      <c r="AC1130" s="417">
        <f>+H1130*'Parametros Generales'!$J$10*'Parametros Generales'!$C$6*'Parametros Generales'!$C$11</f>
        <v>0</v>
      </c>
      <c r="AD1130" s="417"/>
      <c r="AE1130" s="417"/>
      <c r="AF1130" s="417"/>
      <c r="AG1130" s="417"/>
      <c r="AH1130" s="417"/>
      <c r="AI1130" s="417"/>
      <c r="AJ1130" s="417"/>
      <c r="AK1130" s="436"/>
      <c r="AL1130" s="822"/>
    </row>
    <row r="1131" spans="1:38" s="33" customFormat="1" hidden="1" outlineLevel="1">
      <c r="A1131" s="1150"/>
      <c r="B1131" s="823">
        <f t="shared" si="92"/>
        <v>85</v>
      </c>
      <c r="C1131" s="373" t="str">
        <f t="shared" si="93"/>
        <v>CASANARE</v>
      </c>
      <c r="D1131" s="374"/>
      <c r="E1131" s="1113"/>
      <c r="F1131" s="1104"/>
      <c r="G1131" s="375"/>
      <c r="H1131" s="1062"/>
      <c r="I1131" s="1057"/>
      <c r="J1131" s="1058"/>
      <c r="K1131" s="1070" t="str">
        <f t="shared" si="88"/>
        <v>Ok</v>
      </c>
      <c r="L1131" s="1077">
        <f t="shared" si="89"/>
        <v>0</v>
      </c>
      <c r="M1131" s="1091">
        <f>+H1131/'Parametros Generales'!$C$8</f>
        <v>0</v>
      </c>
      <c r="N1131" s="1098"/>
      <c r="O1131" s="1098"/>
      <c r="P1131" s="1098"/>
      <c r="Q1131" s="1098"/>
      <c r="R1131" s="1098">
        <f>+(M1131/'Parametros Generales'!$C$9)</f>
        <v>0</v>
      </c>
      <c r="S1131" s="395"/>
      <c r="T1131" s="395"/>
      <c r="U1131" s="395"/>
      <c r="V1131" s="396"/>
      <c r="W1131" s="376">
        <f>+R1131*'Componentes T.H.'!$Q$9*'Parametros Generales'!$C$6</f>
        <v>0</v>
      </c>
      <c r="X1131" s="376">
        <f>(+VLOOKUP(C1131,'Transporte y Viaticos'!$B$87:$L$120,2,0)*'Parametros Generales'!$C$7*R1131)*(2/3)</f>
        <v>0</v>
      </c>
      <c r="Y1131" s="417"/>
      <c r="Z1131" s="417"/>
      <c r="AA1131" s="417"/>
      <c r="AB1131" s="417">
        <f>+M1131*'Parametros Generales'!$C$6*'Parametros Generales'!$J$9</f>
        <v>0</v>
      </c>
      <c r="AC1131" s="417">
        <f>+H1131*'Parametros Generales'!$J$10*'Parametros Generales'!$C$6*'Parametros Generales'!$C$11</f>
        <v>0</v>
      </c>
      <c r="AD1131" s="417"/>
      <c r="AE1131" s="417"/>
      <c r="AF1131" s="417"/>
      <c r="AG1131" s="417"/>
      <c r="AH1131" s="417"/>
      <c r="AI1131" s="417"/>
      <c r="AJ1131" s="417"/>
      <c r="AK1131" s="436"/>
      <c r="AL1131" s="822"/>
    </row>
    <row r="1132" spans="1:38" s="33" customFormat="1" hidden="1" outlineLevel="1">
      <c r="A1132" s="1150"/>
      <c r="B1132" s="823">
        <f t="shared" si="92"/>
        <v>85</v>
      </c>
      <c r="C1132" s="373" t="str">
        <f t="shared" si="93"/>
        <v>CASANARE</v>
      </c>
      <c r="D1132" s="374"/>
      <c r="E1132" s="1113"/>
      <c r="F1132" s="1104"/>
      <c r="G1132" s="375"/>
      <c r="H1132" s="1062"/>
      <c r="I1132" s="1057"/>
      <c r="J1132" s="1058"/>
      <c r="K1132" s="1070" t="str">
        <f t="shared" si="88"/>
        <v>Ok</v>
      </c>
      <c r="L1132" s="1077">
        <f t="shared" si="89"/>
        <v>0</v>
      </c>
      <c r="M1132" s="1091">
        <f>+H1132/'Parametros Generales'!$C$8</f>
        <v>0</v>
      </c>
      <c r="N1132" s="1098"/>
      <c r="O1132" s="1098"/>
      <c r="P1132" s="1098"/>
      <c r="Q1132" s="1098"/>
      <c r="R1132" s="1098">
        <f>+(M1132/'Parametros Generales'!$C$9)</f>
        <v>0</v>
      </c>
      <c r="S1132" s="395"/>
      <c r="T1132" s="395"/>
      <c r="U1132" s="395"/>
      <c r="V1132" s="396"/>
      <c r="W1132" s="376">
        <f>+R1132*'Componentes T.H.'!$Q$9*'Parametros Generales'!$C$6</f>
        <v>0</v>
      </c>
      <c r="X1132" s="376">
        <f>(+VLOOKUP(C1132,'Transporte y Viaticos'!$B$87:$L$120,2,0)*'Parametros Generales'!$C$7*R1132)*(2/3)</f>
        <v>0</v>
      </c>
      <c r="Y1132" s="417"/>
      <c r="Z1132" s="417"/>
      <c r="AA1132" s="417"/>
      <c r="AB1132" s="417">
        <f>+M1132*'Parametros Generales'!$C$6*'Parametros Generales'!$J$9</f>
        <v>0</v>
      </c>
      <c r="AC1132" s="417">
        <f>+H1132*'Parametros Generales'!$J$10*'Parametros Generales'!$C$6*'Parametros Generales'!$C$11</f>
        <v>0</v>
      </c>
      <c r="AD1132" s="417"/>
      <c r="AE1132" s="417"/>
      <c r="AF1132" s="417"/>
      <c r="AG1132" s="417"/>
      <c r="AH1132" s="417"/>
      <c r="AI1132" s="417"/>
      <c r="AJ1132" s="417"/>
      <c r="AK1132" s="436"/>
      <c r="AL1132" s="822"/>
    </row>
    <row r="1133" spans="1:38" s="33" customFormat="1" hidden="1" outlineLevel="1">
      <c r="A1133" s="1150"/>
      <c r="B1133" s="823">
        <f t="shared" si="92"/>
        <v>85</v>
      </c>
      <c r="C1133" s="373" t="str">
        <f t="shared" si="93"/>
        <v>CASANARE</v>
      </c>
      <c r="D1133" s="374"/>
      <c r="E1133" s="1113"/>
      <c r="F1133" s="1104"/>
      <c r="G1133" s="375"/>
      <c r="H1133" s="1062"/>
      <c r="I1133" s="1057"/>
      <c r="J1133" s="1058"/>
      <c r="K1133" s="1070" t="str">
        <f t="shared" si="88"/>
        <v>Ok</v>
      </c>
      <c r="L1133" s="1077">
        <f t="shared" si="89"/>
        <v>0</v>
      </c>
      <c r="M1133" s="1091">
        <f>+H1133/'Parametros Generales'!$C$8</f>
        <v>0</v>
      </c>
      <c r="N1133" s="1098"/>
      <c r="O1133" s="1098"/>
      <c r="P1133" s="1098"/>
      <c r="Q1133" s="1098"/>
      <c r="R1133" s="1098">
        <f>+(M1133/'Parametros Generales'!$C$9)</f>
        <v>0</v>
      </c>
      <c r="S1133" s="395"/>
      <c r="T1133" s="395"/>
      <c r="U1133" s="395"/>
      <c r="V1133" s="396"/>
      <c r="W1133" s="376">
        <f>+R1133*'Componentes T.H.'!$Q$9*'Parametros Generales'!$C$6</f>
        <v>0</v>
      </c>
      <c r="X1133" s="376">
        <f>(+VLOOKUP(C1133,'Transporte y Viaticos'!$B$87:$L$120,2,0)*'Parametros Generales'!$C$7*R1133)*(2/3)</f>
        <v>0</v>
      </c>
      <c r="Y1133" s="417"/>
      <c r="Z1133" s="417"/>
      <c r="AA1133" s="417"/>
      <c r="AB1133" s="417">
        <f>+M1133*'Parametros Generales'!$C$6*'Parametros Generales'!$J$9</f>
        <v>0</v>
      </c>
      <c r="AC1133" s="417">
        <f>+H1133*'Parametros Generales'!$J$10*'Parametros Generales'!$C$6*'Parametros Generales'!$C$11</f>
        <v>0</v>
      </c>
      <c r="AD1133" s="417"/>
      <c r="AE1133" s="417"/>
      <c r="AF1133" s="417"/>
      <c r="AG1133" s="417"/>
      <c r="AH1133" s="417"/>
      <c r="AI1133" s="417"/>
      <c r="AJ1133" s="417"/>
      <c r="AK1133" s="436"/>
      <c r="AL1133" s="822"/>
    </row>
    <row r="1134" spans="1:38" s="33" customFormat="1" hidden="1" outlineLevel="1">
      <c r="A1134" s="1150"/>
      <c r="B1134" s="823">
        <f t="shared" si="92"/>
        <v>85</v>
      </c>
      <c r="C1134" s="373" t="str">
        <f t="shared" si="93"/>
        <v>CASANARE</v>
      </c>
      <c r="D1134" s="374"/>
      <c r="E1134" s="1113"/>
      <c r="F1134" s="1104"/>
      <c r="G1134" s="375"/>
      <c r="H1134" s="1062"/>
      <c r="I1134" s="1057"/>
      <c r="J1134" s="1058"/>
      <c r="K1134" s="1070" t="str">
        <f t="shared" si="88"/>
        <v>Ok</v>
      </c>
      <c r="L1134" s="1077">
        <f t="shared" si="89"/>
        <v>0</v>
      </c>
      <c r="M1134" s="1091">
        <f>+H1134/'Parametros Generales'!$C$8</f>
        <v>0</v>
      </c>
      <c r="N1134" s="1098"/>
      <c r="O1134" s="1098"/>
      <c r="P1134" s="1098"/>
      <c r="Q1134" s="1098"/>
      <c r="R1134" s="1098">
        <f>+(M1134/'Parametros Generales'!$C$9)</f>
        <v>0</v>
      </c>
      <c r="S1134" s="395"/>
      <c r="T1134" s="395"/>
      <c r="U1134" s="395"/>
      <c r="V1134" s="396"/>
      <c r="W1134" s="376">
        <f>+R1134*'Componentes T.H.'!$Q$9*'Parametros Generales'!$C$6</f>
        <v>0</v>
      </c>
      <c r="X1134" s="376">
        <f>(+VLOOKUP(C1134,'Transporte y Viaticos'!$B$87:$L$120,2,0)*'Parametros Generales'!$C$7*R1134)*(2/3)</f>
        <v>0</v>
      </c>
      <c r="Y1134" s="417"/>
      <c r="Z1134" s="417"/>
      <c r="AA1134" s="417"/>
      <c r="AB1134" s="417">
        <f>+M1134*'Parametros Generales'!$C$6*'Parametros Generales'!$J$9</f>
        <v>0</v>
      </c>
      <c r="AC1134" s="417">
        <f>+H1134*'Parametros Generales'!$J$10*'Parametros Generales'!$C$6*'Parametros Generales'!$C$11</f>
        <v>0</v>
      </c>
      <c r="AD1134" s="417"/>
      <c r="AE1134" s="417"/>
      <c r="AF1134" s="417"/>
      <c r="AG1134" s="417"/>
      <c r="AH1134" s="417"/>
      <c r="AI1134" s="417"/>
      <c r="AJ1134" s="417"/>
      <c r="AK1134" s="436"/>
      <c r="AL1134" s="822"/>
    </row>
    <row r="1135" spans="1:38" s="33" customFormat="1" hidden="1" outlineLevel="1">
      <c r="A1135" s="1150"/>
      <c r="B1135" s="823">
        <f t="shared" si="92"/>
        <v>85</v>
      </c>
      <c r="C1135" s="373" t="str">
        <f t="shared" si="93"/>
        <v>CASANARE</v>
      </c>
      <c r="D1135" s="374"/>
      <c r="E1135" s="1113"/>
      <c r="F1135" s="1104"/>
      <c r="G1135" s="375"/>
      <c r="H1135" s="1062"/>
      <c r="I1135" s="1057"/>
      <c r="J1135" s="1058"/>
      <c r="K1135" s="1070" t="str">
        <f t="shared" si="88"/>
        <v>Ok</v>
      </c>
      <c r="L1135" s="1077">
        <f t="shared" si="89"/>
        <v>0</v>
      </c>
      <c r="M1135" s="1091">
        <f>+H1135/'Parametros Generales'!$C$8</f>
        <v>0</v>
      </c>
      <c r="N1135" s="1098"/>
      <c r="O1135" s="1098"/>
      <c r="P1135" s="1098"/>
      <c r="Q1135" s="1098"/>
      <c r="R1135" s="1098">
        <f>+(M1135/'Parametros Generales'!$C$9)</f>
        <v>0</v>
      </c>
      <c r="S1135" s="395"/>
      <c r="T1135" s="395"/>
      <c r="U1135" s="395"/>
      <c r="V1135" s="396"/>
      <c r="W1135" s="376">
        <f>+R1135*'Componentes T.H.'!$Q$9*'Parametros Generales'!$C$6</f>
        <v>0</v>
      </c>
      <c r="X1135" s="376">
        <f>(+VLOOKUP(C1135,'Transporte y Viaticos'!$B$87:$L$120,2,0)*'Parametros Generales'!$C$7*R1135)*(2/3)</f>
        <v>0</v>
      </c>
      <c r="Y1135" s="417"/>
      <c r="Z1135" s="417"/>
      <c r="AA1135" s="417"/>
      <c r="AB1135" s="417">
        <f>+M1135*'Parametros Generales'!$C$6*'Parametros Generales'!$J$9</f>
        <v>0</v>
      </c>
      <c r="AC1135" s="417">
        <f>+H1135*'Parametros Generales'!$J$10*'Parametros Generales'!$C$6*'Parametros Generales'!$C$11</f>
        <v>0</v>
      </c>
      <c r="AD1135" s="417"/>
      <c r="AE1135" s="417"/>
      <c r="AF1135" s="417"/>
      <c r="AG1135" s="417"/>
      <c r="AH1135" s="417"/>
      <c r="AI1135" s="417"/>
      <c r="AJ1135" s="417"/>
      <c r="AK1135" s="436"/>
      <c r="AL1135" s="822"/>
    </row>
    <row r="1136" spans="1:38" s="33" customFormat="1" hidden="1" outlineLevel="1">
      <c r="A1136" s="1150"/>
      <c r="B1136" s="823">
        <f t="shared" si="92"/>
        <v>85</v>
      </c>
      <c r="C1136" s="373" t="str">
        <f t="shared" si="93"/>
        <v>CASANARE</v>
      </c>
      <c r="D1136" s="374"/>
      <c r="E1136" s="1113"/>
      <c r="F1136" s="1104"/>
      <c r="G1136" s="375"/>
      <c r="H1136" s="1062"/>
      <c r="I1136" s="1057"/>
      <c r="J1136" s="1058"/>
      <c r="K1136" s="1070" t="str">
        <f t="shared" si="88"/>
        <v>Ok</v>
      </c>
      <c r="L1136" s="1077">
        <f t="shared" si="89"/>
        <v>0</v>
      </c>
      <c r="M1136" s="1091">
        <f>+H1136/'Parametros Generales'!$C$8</f>
        <v>0</v>
      </c>
      <c r="N1136" s="1098"/>
      <c r="O1136" s="1098"/>
      <c r="P1136" s="1098"/>
      <c r="Q1136" s="1098"/>
      <c r="R1136" s="1098">
        <f>+(M1136/'Parametros Generales'!$C$9)</f>
        <v>0</v>
      </c>
      <c r="S1136" s="395"/>
      <c r="T1136" s="395"/>
      <c r="U1136" s="395"/>
      <c r="V1136" s="396"/>
      <c r="W1136" s="376">
        <f>+R1136*'Componentes T.H.'!$Q$9*'Parametros Generales'!$C$6</f>
        <v>0</v>
      </c>
      <c r="X1136" s="376">
        <f>(+VLOOKUP(C1136,'Transporte y Viaticos'!$B$87:$L$120,2,0)*'Parametros Generales'!$C$7*R1136)*(2/3)</f>
        <v>0</v>
      </c>
      <c r="Y1136" s="417"/>
      <c r="Z1136" s="417"/>
      <c r="AA1136" s="417"/>
      <c r="AB1136" s="417">
        <f>+M1136*'Parametros Generales'!$C$6*'Parametros Generales'!$J$9</f>
        <v>0</v>
      </c>
      <c r="AC1136" s="417">
        <f>+H1136*'Parametros Generales'!$J$10*'Parametros Generales'!$C$6*'Parametros Generales'!$C$11</f>
        <v>0</v>
      </c>
      <c r="AD1136" s="417"/>
      <c r="AE1136" s="417"/>
      <c r="AF1136" s="417"/>
      <c r="AG1136" s="417"/>
      <c r="AH1136" s="417"/>
      <c r="AI1136" s="417"/>
      <c r="AJ1136" s="417"/>
      <c r="AK1136" s="436"/>
      <c r="AL1136" s="822"/>
    </row>
    <row r="1137" spans="1:38" s="33" customFormat="1" hidden="1" outlineLevel="1">
      <c r="A1137" s="1150"/>
      <c r="B1137" s="823">
        <f t="shared" si="92"/>
        <v>85</v>
      </c>
      <c r="C1137" s="373" t="str">
        <f t="shared" si="93"/>
        <v>CASANARE</v>
      </c>
      <c r="D1137" s="374"/>
      <c r="E1137" s="1113"/>
      <c r="F1137" s="1104"/>
      <c r="G1137" s="375"/>
      <c r="H1137" s="1062"/>
      <c r="I1137" s="1057"/>
      <c r="J1137" s="1058"/>
      <c r="K1137" s="1070" t="str">
        <f t="shared" si="88"/>
        <v>Ok</v>
      </c>
      <c r="L1137" s="1077">
        <f t="shared" si="89"/>
        <v>0</v>
      </c>
      <c r="M1137" s="1091">
        <f>+H1137/'Parametros Generales'!$C$8</f>
        <v>0</v>
      </c>
      <c r="N1137" s="1098"/>
      <c r="O1137" s="1098"/>
      <c r="P1137" s="1098"/>
      <c r="Q1137" s="1098"/>
      <c r="R1137" s="1098">
        <f>+(M1137/'Parametros Generales'!$C$9)</f>
        <v>0</v>
      </c>
      <c r="S1137" s="395"/>
      <c r="T1137" s="395"/>
      <c r="U1137" s="395"/>
      <c r="V1137" s="396"/>
      <c r="W1137" s="376">
        <f>+R1137*'Componentes T.H.'!$Q$9*'Parametros Generales'!$C$6</f>
        <v>0</v>
      </c>
      <c r="X1137" s="376">
        <f>(+VLOOKUP(C1137,'Transporte y Viaticos'!$B$87:$L$120,2,0)*'Parametros Generales'!$C$7*R1137)*(2/3)</f>
        <v>0</v>
      </c>
      <c r="Y1137" s="417"/>
      <c r="Z1137" s="417"/>
      <c r="AA1137" s="417"/>
      <c r="AB1137" s="417">
        <f>+M1137*'Parametros Generales'!$C$6*'Parametros Generales'!$J$9</f>
        <v>0</v>
      </c>
      <c r="AC1137" s="417">
        <f>+H1137*'Parametros Generales'!$J$10*'Parametros Generales'!$C$6*'Parametros Generales'!$C$11</f>
        <v>0</v>
      </c>
      <c r="AD1137" s="417"/>
      <c r="AE1137" s="417"/>
      <c r="AF1137" s="417"/>
      <c r="AG1137" s="417"/>
      <c r="AH1137" s="417"/>
      <c r="AI1137" s="417"/>
      <c r="AJ1137" s="417"/>
      <c r="AK1137" s="436"/>
      <c r="AL1137" s="822"/>
    </row>
    <row r="1138" spans="1:38" s="33" customFormat="1" hidden="1" outlineLevel="1">
      <c r="A1138" s="1150"/>
      <c r="B1138" s="823">
        <f t="shared" si="92"/>
        <v>85</v>
      </c>
      <c r="C1138" s="373" t="str">
        <f t="shared" si="93"/>
        <v>CASANARE</v>
      </c>
      <c r="D1138" s="374"/>
      <c r="E1138" s="1113"/>
      <c r="F1138" s="1104"/>
      <c r="G1138" s="375"/>
      <c r="H1138" s="1062"/>
      <c r="I1138" s="1057"/>
      <c r="J1138" s="1058"/>
      <c r="K1138" s="1070" t="str">
        <f t="shared" si="88"/>
        <v>Ok</v>
      </c>
      <c r="L1138" s="1077">
        <f t="shared" si="89"/>
        <v>0</v>
      </c>
      <c r="M1138" s="1091">
        <f>+H1138/'Parametros Generales'!$C$8</f>
        <v>0</v>
      </c>
      <c r="N1138" s="1098"/>
      <c r="O1138" s="1098"/>
      <c r="P1138" s="1098"/>
      <c r="Q1138" s="1098"/>
      <c r="R1138" s="1098">
        <f>+(M1138/'Parametros Generales'!$C$9)</f>
        <v>0</v>
      </c>
      <c r="S1138" s="395"/>
      <c r="T1138" s="395"/>
      <c r="U1138" s="395"/>
      <c r="V1138" s="396"/>
      <c r="W1138" s="376">
        <f>+R1138*'Componentes T.H.'!$Q$9*'Parametros Generales'!$C$6</f>
        <v>0</v>
      </c>
      <c r="X1138" s="376">
        <f>(+VLOOKUP(C1138,'Transporte y Viaticos'!$B$87:$L$120,2,0)*'Parametros Generales'!$C$7*R1138)*(2/3)</f>
        <v>0</v>
      </c>
      <c r="Y1138" s="417"/>
      <c r="Z1138" s="417"/>
      <c r="AA1138" s="417"/>
      <c r="AB1138" s="417">
        <f>+M1138*'Parametros Generales'!$C$6*'Parametros Generales'!$J$9</f>
        <v>0</v>
      </c>
      <c r="AC1138" s="417">
        <f>+H1138*'Parametros Generales'!$J$10*'Parametros Generales'!$C$6*'Parametros Generales'!$C$11</f>
        <v>0</v>
      </c>
      <c r="AD1138" s="417"/>
      <c r="AE1138" s="417"/>
      <c r="AF1138" s="417"/>
      <c r="AG1138" s="417"/>
      <c r="AH1138" s="417"/>
      <c r="AI1138" s="417"/>
      <c r="AJ1138" s="417"/>
      <c r="AK1138" s="436"/>
      <c r="AL1138" s="822"/>
    </row>
    <row r="1139" spans="1:38" s="33" customFormat="1" hidden="1" outlineLevel="1">
      <c r="A1139" s="1150"/>
      <c r="B1139" s="823">
        <f t="shared" si="92"/>
        <v>85</v>
      </c>
      <c r="C1139" s="373" t="str">
        <f t="shared" si="93"/>
        <v>CASANARE</v>
      </c>
      <c r="D1139" s="374"/>
      <c r="E1139" s="1113"/>
      <c r="F1139" s="1104"/>
      <c r="G1139" s="375"/>
      <c r="H1139" s="1062"/>
      <c r="I1139" s="1057"/>
      <c r="J1139" s="1058"/>
      <c r="K1139" s="1070" t="str">
        <f t="shared" si="88"/>
        <v>Ok</v>
      </c>
      <c r="L1139" s="1077">
        <f t="shared" si="89"/>
        <v>0</v>
      </c>
      <c r="M1139" s="1091">
        <f>+H1139/'Parametros Generales'!$C$8</f>
        <v>0</v>
      </c>
      <c r="N1139" s="1098"/>
      <c r="O1139" s="1098"/>
      <c r="P1139" s="1098"/>
      <c r="Q1139" s="1098"/>
      <c r="R1139" s="1098">
        <f>+(M1139/'Parametros Generales'!$C$9)</f>
        <v>0</v>
      </c>
      <c r="S1139" s="395"/>
      <c r="T1139" s="395"/>
      <c r="U1139" s="395"/>
      <c r="V1139" s="396"/>
      <c r="W1139" s="376">
        <f>+R1139*'Componentes T.H.'!$Q$9*'Parametros Generales'!$C$6</f>
        <v>0</v>
      </c>
      <c r="X1139" s="376">
        <f>(+VLOOKUP(C1139,'Transporte y Viaticos'!$B$87:$L$120,2,0)*'Parametros Generales'!$C$7*R1139)*(2/3)</f>
        <v>0</v>
      </c>
      <c r="Y1139" s="417"/>
      <c r="Z1139" s="417"/>
      <c r="AA1139" s="417"/>
      <c r="AB1139" s="417">
        <f>+M1139*'Parametros Generales'!$C$6*'Parametros Generales'!$J$9</f>
        <v>0</v>
      </c>
      <c r="AC1139" s="417">
        <f>+H1139*'Parametros Generales'!$J$10*'Parametros Generales'!$C$6*'Parametros Generales'!$C$11</f>
        <v>0</v>
      </c>
      <c r="AD1139" s="417"/>
      <c r="AE1139" s="417"/>
      <c r="AF1139" s="417"/>
      <c r="AG1139" s="417"/>
      <c r="AH1139" s="417"/>
      <c r="AI1139" s="417"/>
      <c r="AJ1139" s="417"/>
      <c r="AK1139" s="436"/>
      <c r="AL1139" s="822"/>
    </row>
    <row r="1140" spans="1:38" s="33" customFormat="1" hidden="1" outlineLevel="1">
      <c r="A1140" s="1150"/>
      <c r="B1140" s="823">
        <f t="shared" si="92"/>
        <v>85</v>
      </c>
      <c r="C1140" s="373" t="str">
        <f t="shared" si="93"/>
        <v>CASANARE</v>
      </c>
      <c r="D1140" s="374"/>
      <c r="E1140" s="1113"/>
      <c r="F1140" s="1104"/>
      <c r="G1140" s="375"/>
      <c r="H1140" s="1062"/>
      <c r="I1140" s="1057"/>
      <c r="J1140" s="1058"/>
      <c r="K1140" s="1070" t="str">
        <f t="shared" si="88"/>
        <v>Ok</v>
      </c>
      <c r="L1140" s="1077">
        <f t="shared" si="89"/>
        <v>0</v>
      </c>
      <c r="M1140" s="1091">
        <f>+H1140/'Parametros Generales'!$C$8</f>
        <v>0</v>
      </c>
      <c r="N1140" s="1098"/>
      <c r="O1140" s="1098"/>
      <c r="P1140" s="1098"/>
      <c r="Q1140" s="1098"/>
      <c r="R1140" s="1098">
        <f>+(M1140/'Parametros Generales'!$C$9)</f>
        <v>0</v>
      </c>
      <c r="S1140" s="395"/>
      <c r="T1140" s="395"/>
      <c r="U1140" s="395"/>
      <c r="V1140" s="396"/>
      <c r="W1140" s="376">
        <f>+R1140*'Componentes T.H.'!$Q$9*'Parametros Generales'!$C$6</f>
        <v>0</v>
      </c>
      <c r="X1140" s="376">
        <f>(+VLOOKUP(C1140,'Transporte y Viaticos'!$B$87:$L$120,2,0)*'Parametros Generales'!$C$7*R1140)*(2/3)</f>
        <v>0</v>
      </c>
      <c r="Y1140" s="417"/>
      <c r="Z1140" s="417"/>
      <c r="AA1140" s="417"/>
      <c r="AB1140" s="417">
        <f>+M1140*'Parametros Generales'!$C$6*'Parametros Generales'!$J$9</f>
        <v>0</v>
      </c>
      <c r="AC1140" s="417">
        <f>+H1140*'Parametros Generales'!$J$10*'Parametros Generales'!$C$6*'Parametros Generales'!$C$11</f>
        <v>0</v>
      </c>
      <c r="AD1140" s="417"/>
      <c r="AE1140" s="417"/>
      <c r="AF1140" s="417"/>
      <c r="AG1140" s="417"/>
      <c r="AH1140" s="417"/>
      <c r="AI1140" s="417"/>
      <c r="AJ1140" s="417"/>
      <c r="AK1140" s="436"/>
      <c r="AL1140" s="822"/>
    </row>
    <row r="1141" spans="1:38" s="33" customFormat="1" hidden="1" outlineLevel="1">
      <c r="A1141" s="1150"/>
      <c r="B1141" s="823">
        <f t="shared" si="92"/>
        <v>85</v>
      </c>
      <c r="C1141" s="373" t="str">
        <f t="shared" si="93"/>
        <v>CASANARE</v>
      </c>
      <c r="D1141" s="374"/>
      <c r="E1141" s="1113"/>
      <c r="F1141" s="1104"/>
      <c r="G1141" s="375"/>
      <c r="H1141" s="1062"/>
      <c r="I1141" s="1057"/>
      <c r="J1141" s="1058"/>
      <c r="K1141" s="1070" t="str">
        <f t="shared" si="88"/>
        <v>Ok</v>
      </c>
      <c r="L1141" s="1077">
        <f t="shared" si="89"/>
        <v>0</v>
      </c>
      <c r="M1141" s="1091">
        <f>+H1141/'Parametros Generales'!$C$8</f>
        <v>0</v>
      </c>
      <c r="N1141" s="1098"/>
      <c r="O1141" s="1098"/>
      <c r="P1141" s="1098"/>
      <c r="Q1141" s="1098"/>
      <c r="R1141" s="1098">
        <f>+(M1141/'Parametros Generales'!$C$9)</f>
        <v>0</v>
      </c>
      <c r="S1141" s="395"/>
      <c r="T1141" s="395"/>
      <c r="U1141" s="395"/>
      <c r="V1141" s="396"/>
      <c r="W1141" s="376">
        <f>+R1141*'Componentes T.H.'!$Q$9*'Parametros Generales'!$C$6</f>
        <v>0</v>
      </c>
      <c r="X1141" s="376">
        <f>(+VLOOKUP(C1141,'Transporte y Viaticos'!$B$87:$L$120,2,0)*'Parametros Generales'!$C$7*R1141)*(2/3)</f>
        <v>0</v>
      </c>
      <c r="Y1141" s="417"/>
      <c r="Z1141" s="417"/>
      <c r="AA1141" s="417"/>
      <c r="AB1141" s="417">
        <f>+M1141*'Parametros Generales'!$C$6*'Parametros Generales'!$J$9</f>
        <v>0</v>
      </c>
      <c r="AC1141" s="417">
        <f>+H1141*'Parametros Generales'!$J$10*'Parametros Generales'!$C$6*'Parametros Generales'!$C$11</f>
        <v>0</v>
      </c>
      <c r="AD1141" s="417"/>
      <c r="AE1141" s="417"/>
      <c r="AF1141" s="417"/>
      <c r="AG1141" s="417"/>
      <c r="AH1141" s="417"/>
      <c r="AI1141" s="417"/>
      <c r="AJ1141" s="417"/>
      <c r="AK1141" s="436"/>
      <c r="AL1141" s="822"/>
    </row>
    <row r="1142" spans="1:38" s="33" customFormat="1" hidden="1" outlineLevel="1">
      <c r="A1142" s="1150"/>
      <c r="B1142" s="823">
        <f t="shared" si="92"/>
        <v>85</v>
      </c>
      <c r="C1142" s="373" t="str">
        <f t="shared" si="93"/>
        <v>CASANARE</v>
      </c>
      <c r="D1142" s="374"/>
      <c r="E1142" s="1113"/>
      <c r="F1142" s="1104"/>
      <c r="G1142" s="375"/>
      <c r="H1142" s="1062"/>
      <c r="I1142" s="1057"/>
      <c r="J1142" s="1058"/>
      <c r="K1142" s="1070" t="str">
        <f t="shared" si="88"/>
        <v>Ok</v>
      </c>
      <c r="L1142" s="1077">
        <f t="shared" si="89"/>
        <v>0</v>
      </c>
      <c r="M1142" s="1091">
        <f>+H1142/'Parametros Generales'!$C$8</f>
        <v>0</v>
      </c>
      <c r="N1142" s="1098"/>
      <c r="O1142" s="1098"/>
      <c r="P1142" s="1098"/>
      <c r="Q1142" s="1098"/>
      <c r="R1142" s="1098">
        <f>+(M1142/'Parametros Generales'!$C$9)</f>
        <v>0</v>
      </c>
      <c r="S1142" s="395"/>
      <c r="T1142" s="395"/>
      <c r="U1142" s="395"/>
      <c r="V1142" s="396"/>
      <c r="W1142" s="376">
        <f>+R1142*'Componentes T.H.'!$Q$9*'Parametros Generales'!$C$6</f>
        <v>0</v>
      </c>
      <c r="X1142" s="376">
        <f>(+VLOOKUP(C1142,'Transporte y Viaticos'!$B$87:$L$120,2,0)*'Parametros Generales'!$C$7*R1142)*(2/3)</f>
        <v>0</v>
      </c>
      <c r="Y1142" s="417"/>
      <c r="Z1142" s="417"/>
      <c r="AA1142" s="417"/>
      <c r="AB1142" s="417">
        <f>+M1142*'Parametros Generales'!$C$6*'Parametros Generales'!$J$9</f>
        <v>0</v>
      </c>
      <c r="AC1142" s="417">
        <f>+H1142*'Parametros Generales'!$J$10*'Parametros Generales'!$C$6*'Parametros Generales'!$C$11</f>
        <v>0</v>
      </c>
      <c r="AD1142" s="417"/>
      <c r="AE1142" s="417"/>
      <c r="AF1142" s="417"/>
      <c r="AG1142" s="417"/>
      <c r="AH1142" s="417"/>
      <c r="AI1142" s="417"/>
      <c r="AJ1142" s="417"/>
      <c r="AK1142" s="436"/>
      <c r="AL1142" s="822"/>
    </row>
    <row r="1143" spans="1:38" s="33" customFormat="1" hidden="1" outlineLevel="1">
      <c r="A1143" s="1150"/>
      <c r="B1143" s="823">
        <f t="shared" si="92"/>
        <v>85</v>
      </c>
      <c r="C1143" s="373" t="str">
        <f t="shared" si="93"/>
        <v>CASANARE</v>
      </c>
      <c r="D1143" s="374"/>
      <c r="E1143" s="1113"/>
      <c r="F1143" s="1104"/>
      <c r="G1143" s="375"/>
      <c r="H1143" s="1062"/>
      <c r="I1143" s="1057"/>
      <c r="J1143" s="1058"/>
      <c r="K1143" s="1070" t="str">
        <f t="shared" si="88"/>
        <v>Ok</v>
      </c>
      <c r="L1143" s="1077">
        <f t="shared" si="89"/>
        <v>0</v>
      </c>
      <c r="M1143" s="1091">
        <f>+H1143/'Parametros Generales'!$C$8</f>
        <v>0</v>
      </c>
      <c r="N1143" s="1098"/>
      <c r="O1143" s="1098"/>
      <c r="P1143" s="1098"/>
      <c r="Q1143" s="1098"/>
      <c r="R1143" s="1098">
        <f>+(M1143/'Parametros Generales'!$C$9)</f>
        <v>0</v>
      </c>
      <c r="S1143" s="395"/>
      <c r="T1143" s="395"/>
      <c r="U1143" s="395"/>
      <c r="V1143" s="396"/>
      <c r="W1143" s="376">
        <f>+R1143*'Componentes T.H.'!$Q$9*'Parametros Generales'!$C$6</f>
        <v>0</v>
      </c>
      <c r="X1143" s="376">
        <f>(+VLOOKUP(C1143,'Transporte y Viaticos'!$B$87:$L$120,2,0)*'Parametros Generales'!$C$7*R1143)*(2/3)</f>
        <v>0</v>
      </c>
      <c r="Y1143" s="417"/>
      <c r="Z1143" s="417"/>
      <c r="AA1143" s="417"/>
      <c r="AB1143" s="417">
        <f>+M1143*'Parametros Generales'!$C$6*'Parametros Generales'!$J$9</f>
        <v>0</v>
      </c>
      <c r="AC1143" s="417">
        <f>+H1143*'Parametros Generales'!$J$10*'Parametros Generales'!$C$6*'Parametros Generales'!$C$11</f>
        <v>0</v>
      </c>
      <c r="AD1143" s="417"/>
      <c r="AE1143" s="417"/>
      <c r="AF1143" s="417"/>
      <c r="AG1143" s="417"/>
      <c r="AH1143" s="417"/>
      <c r="AI1143" s="417"/>
      <c r="AJ1143" s="417"/>
      <c r="AK1143" s="436"/>
      <c r="AL1143" s="822"/>
    </row>
    <row r="1144" spans="1:38" s="33" customFormat="1" hidden="1" outlineLevel="1">
      <c r="A1144" s="1150"/>
      <c r="B1144" s="823">
        <f t="shared" si="92"/>
        <v>85</v>
      </c>
      <c r="C1144" s="373" t="str">
        <f t="shared" si="93"/>
        <v>CASANARE</v>
      </c>
      <c r="D1144" s="374"/>
      <c r="E1144" s="1113"/>
      <c r="F1144" s="1104"/>
      <c r="G1144" s="375"/>
      <c r="H1144" s="1062"/>
      <c r="I1144" s="1057"/>
      <c r="J1144" s="1058"/>
      <c r="K1144" s="1070" t="str">
        <f t="shared" si="88"/>
        <v>Ok</v>
      </c>
      <c r="L1144" s="1077">
        <f t="shared" si="89"/>
        <v>0</v>
      </c>
      <c r="M1144" s="1091">
        <f>+H1144/'Parametros Generales'!$C$8</f>
        <v>0</v>
      </c>
      <c r="N1144" s="1098"/>
      <c r="O1144" s="1098"/>
      <c r="P1144" s="1098"/>
      <c r="Q1144" s="1098"/>
      <c r="R1144" s="1098">
        <f>+(M1144/'Parametros Generales'!$C$9)</f>
        <v>0</v>
      </c>
      <c r="S1144" s="395"/>
      <c r="T1144" s="395"/>
      <c r="U1144" s="395"/>
      <c r="V1144" s="396"/>
      <c r="W1144" s="376">
        <f>+R1144*'Componentes T.H.'!$Q$9*'Parametros Generales'!$C$6</f>
        <v>0</v>
      </c>
      <c r="X1144" s="376">
        <f>(+VLOOKUP(C1144,'Transporte y Viaticos'!$B$87:$L$120,2,0)*'Parametros Generales'!$C$7*R1144)*(2/3)</f>
        <v>0</v>
      </c>
      <c r="Y1144" s="417"/>
      <c r="Z1144" s="417"/>
      <c r="AA1144" s="417"/>
      <c r="AB1144" s="417">
        <f>+M1144*'Parametros Generales'!$C$6*'Parametros Generales'!$J$9</f>
        <v>0</v>
      </c>
      <c r="AC1144" s="417">
        <f>+H1144*'Parametros Generales'!$J$10*'Parametros Generales'!$C$6*'Parametros Generales'!$C$11</f>
        <v>0</v>
      </c>
      <c r="AD1144" s="417"/>
      <c r="AE1144" s="417"/>
      <c r="AF1144" s="417"/>
      <c r="AG1144" s="417"/>
      <c r="AH1144" s="417"/>
      <c r="AI1144" s="417"/>
      <c r="AJ1144" s="417"/>
      <c r="AK1144" s="436"/>
      <c r="AL1144" s="822"/>
    </row>
    <row r="1145" spans="1:38" s="392" customFormat="1" collapsed="1">
      <c r="A1145" s="1151">
        <v>28</v>
      </c>
      <c r="B1145" s="824">
        <v>86</v>
      </c>
      <c r="C1145" s="385" t="s">
        <v>717</v>
      </c>
      <c r="D1145" s="386"/>
      <c r="E1145" s="1114" t="s">
        <v>717</v>
      </c>
      <c r="F1145" s="1105">
        <f>SUM(F1146:F1168)</f>
        <v>11</v>
      </c>
      <c r="G1145" s="388">
        <f>+SUM(G1146:G1156)</f>
        <v>3003</v>
      </c>
      <c r="H1145" s="512">
        <f>+SUM(H1146:H1168)</f>
        <v>3100</v>
      </c>
      <c r="I1145" s="1057" t="s">
        <v>717</v>
      </c>
      <c r="J1145" s="1067">
        <v>3100</v>
      </c>
      <c r="K1145" s="1069" t="str">
        <f t="shared" si="88"/>
        <v>Ok</v>
      </c>
      <c r="L1145" s="1077">
        <f t="shared" si="89"/>
        <v>0</v>
      </c>
      <c r="M1145" s="512">
        <f>+SUM(M1146:M1168)</f>
        <v>124</v>
      </c>
      <c r="N1145" s="1073">
        <f>+VLOOKUP(H1145,'Parametros Generales'!$B$14:$D$17,3,TRUE)</f>
        <v>0.6</v>
      </c>
      <c r="O1145" s="1073">
        <f>+VLOOKUP(H1145,'Parametros Generales'!$B$14:$D$17,3,TRUE)</f>
        <v>0.6</v>
      </c>
      <c r="P1145" s="1073">
        <f>+VLOOKUP(H1145,'Parametros Generales'!$B$14:$D$17,3,TRUE)</f>
        <v>0.6</v>
      </c>
      <c r="Q1145" s="1073">
        <f>+R1145/'Parametros Generales'!$C$10</f>
        <v>3.875</v>
      </c>
      <c r="R1145" s="512">
        <f>+SUM(R1146:R1168)</f>
        <v>31</v>
      </c>
      <c r="S1145" s="390">
        <f>+VLOOKUP(S$1,'Componentes T.H.'!$B$4:$R$22,'Componentes T.H.'!$Q$1,0)*'Parametros Generales'!$C$6*'Cost x Depart'!N1145</f>
        <v>8794058.4826000016</v>
      </c>
      <c r="T1145" s="390">
        <f>+VLOOKUP(T$1,'Componentes T.H.'!$B$4:$R$22,'Componentes T.H.'!$Q$1,0)*'Parametros Generales'!$C$6*'Cost x Depart'!O1145</f>
        <v>6626289.3953999998</v>
      </c>
      <c r="U1145" s="390">
        <f>+VLOOKUP(U$1,'Componentes T.H.'!$B$4:$R$22,'Componentes T.H.'!$Q$1,0)*'Parametros Generales'!$C$6*'Cost x Depart'!P1145</f>
        <v>2934259.1999999997</v>
      </c>
      <c r="V1145" s="389">
        <f>+VLOOKUP(V$1,'Componentes T.H.'!$B$4:$R$22,'Componentes T.H.'!$Q$1,0)*'Parametros Generales'!$C$6*'Cost x Depart'!Q1145</f>
        <v>38715309.195541665</v>
      </c>
      <c r="W1145" s="512">
        <f>+SUM(W1146:W1168)</f>
        <v>155573719.20100003</v>
      </c>
      <c r="X1145" s="512">
        <f>+SUM(X1146:X1168)</f>
        <v>15199970.322878771</v>
      </c>
      <c r="Y1145" s="391">
        <f>+VLOOKUP(C1146,'Transporte y Viaticos'!$B$87:$F$120,2,0)*((O1145/'Parametros Generales'!$J$14)+(Q1145/'Parametros Generales'!$J$15)+(R1145/'Parametros Generales'!$J$16))*'Parametros Generales'!$C$6</f>
        <v>734563.08193428256</v>
      </c>
      <c r="Z1145" s="391">
        <f>+(N1145+O1145+Q1145)*'Parametros Generales'!$C$6*'Parametros Generales'!$J$7</f>
        <v>997846.5</v>
      </c>
      <c r="AA1145" s="391">
        <f>+SUM(N1145:R1145)*'Parametros Generales'!$C$6*'Parametros Generales'!$J$8</f>
        <v>6583162.5</v>
      </c>
      <c r="AB1145" s="512">
        <f>+SUM(AB1146:AB1168)</f>
        <v>60376727.272727296</v>
      </c>
      <c r="AC1145" s="512">
        <f>+SUM(AC1146:AC1168)</f>
        <v>228446730.8947252</v>
      </c>
      <c r="AD1145" s="391">
        <f>+'Parametros Generales'!$J$11*SUM(N1145:R1145)</f>
        <v>1233747</v>
      </c>
      <c r="AE1145" s="436">
        <f>+SUM(S1145:AD1145)</f>
        <v>526216383.04680723</v>
      </c>
      <c r="AF1145" s="391">
        <f>+AE1145*(SUM('Res de Costos Pais'!G117:G117))</f>
        <v>36045822.238706298</v>
      </c>
      <c r="AG1145" s="391">
        <f>+AE1145+AF1145</f>
        <v>562262205.28551352</v>
      </c>
      <c r="AH1145" s="391">
        <f>+AG1145*SUM('Res de Costos Pais'!$G$123:$G$124)</f>
        <v>5431452.9030580604</v>
      </c>
      <c r="AI1145" s="391">
        <f>+(AG1145+AH1145)*'Res de Costos Pais'!$G$136</f>
        <v>1532772.8771091434</v>
      </c>
      <c r="AJ1145" s="391">
        <f>+(AG1145+AH1145+AI1145)*'Res de Costos Pais'!$G$140</f>
        <v>2276905.7242627232</v>
      </c>
      <c r="AK1145" s="391">
        <f>+AG1145+AH1145+AI1145+AJ1145</f>
        <v>571503336.78994346</v>
      </c>
      <c r="AL1145" s="820">
        <f>IF(ISERROR((+(AK1145/H1145)/'Parametros Generales'!$C$6)),0,(+(AK1145/H1145)/'Parametros Generales'!$C$6))</f>
        <v>36871.183018706026</v>
      </c>
    </row>
    <row r="1146" spans="1:38" s="33" customFormat="1" hidden="1" outlineLevel="1">
      <c r="A1146" s="1150"/>
      <c r="B1146" s="819">
        <v>86</v>
      </c>
      <c r="C1146" s="377" t="s">
        <v>717</v>
      </c>
      <c r="D1146" s="378">
        <f>+VLOOKUP(E1146,Codigos!$A$1:$B$1123,2,0)</f>
        <v>86001</v>
      </c>
      <c r="E1146" s="1110" t="s">
        <v>2290</v>
      </c>
      <c r="F1146" s="1102">
        <v>1</v>
      </c>
      <c r="G1146" s="379">
        <v>429</v>
      </c>
      <c r="H1146" s="1060">
        <f>CEILING((G1146+50),'Parametros Generales'!$C$8)</f>
        <v>500</v>
      </c>
      <c r="I1146" s="1057" t="s">
        <v>718</v>
      </c>
      <c r="J1146" s="1058">
        <v>500</v>
      </c>
      <c r="K1146" s="1070" t="str">
        <f t="shared" si="88"/>
        <v>Ok</v>
      </c>
      <c r="L1146" s="1077">
        <f t="shared" si="89"/>
        <v>0</v>
      </c>
      <c r="M1146" s="1089">
        <f>+H1146/'Parametros Generales'!$C$8</f>
        <v>20</v>
      </c>
      <c r="N1146" s="1096"/>
      <c r="O1146" s="1096"/>
      <c r="P1146" s="1096"/>
      <c r="Q1146" s="1096"/>
      <c r="R1146" s="1096">
        <f>+(M1146/'Parametros Generales'!$C$9)</f>
        <v>5</v>
      </c>
      <c r="S1146" s="393"/>
      <c r="T1146" s="393"/>
      <c r="U1146" s="393"/>
      <c r="V1146" s="394"/>
      <c r="W1146" s="380">
        <f>+R1146*'Componentes T.H.'!$Q$9*'Parametros Generales'!$C$6</f>
        <v>25092535.355000004</v>
      </c>
      <c r="X1146" s="380">
        <f>(+VLOOKUP(C1146,'Transporte y Viaticos'!$B$87:$L$120,2,0)*'Parametros Generales'!$C$7*R1146)*(2/3)</f>
        <v>2451608.1165933497</v>
      </c>
      <c r="Y1146" s="417"/>
      <c r="Z1146" s="417"/>
      <c r="AA1146" s="417"/>
      <c r="AB1146" s="417">
        <f>+M1146*'Parametros Generales'!$C$6*'Parametros Generales'!$J$9</f>
        <v>9738181.8181818202</v>
      </c>
      <c r="AC1146" s="417">
        <f>+H1146*'Parametros Generales'!$J$10*'Parametros Generales'!$C$6*'Parametros Generales'!$C$11</f>
        <v>36846246.918504067</v>
      </c>
      <c r="AD1146" s="417"/>
      <c r="AE1146" s="417"/>
      <c r="AF1146" s="417"/>
      <c r="AG1146" s="417"/>
      <c r="AH1146" s="417"/>
      <c r="AI1146" s="417"/>
      <c r="AJ1146" s="417"/>
      <c r="AK1146" s="436"/>
      <c r="AL1146" s="822"/>
    </row>
    <row r="1147" spans="1:38" s="33" customFormat="1" hidden="1" outlineLevel="1">
      <c r="A1147" s="1150"/>
      <c r="B1147" s="821">
        <v>86</v>
      </c>
      <c r="C1147" s="371" t="s">
        <v>717</v>
      </c>
      <c r="D1147" s="31">
        <f>+VLOOKUP(E1147,Codigos!$A$1:$B$1123,2,0)</f>
        <v>86219</v>
      </c>
      <c r="E1147" s="1111" t="s">
        <v>2291</v>
      </c>
      <c r="F1147" s="1103">
        <v>1</v>
      </c>
      <c r="G1147" s="30">
        <v>198</v>
      </c>
      <c r="H1147" s="1061">
        <f>CEILING(G1147,'Parametros Generales'!$C$8)</f>
        <v>200</v>
      </c>
      <c r="I1147" s="1057" t="s">
        <v>719</v>
      </c>
      <c r="J1147" s="1058">
        <v>200</v>
      </c>
      <c r="K1147" s="1070" t="str">
        <f t="shared" si="88"/>
        <v>Ok</v>
      </c>
      <c r="L1147" s="1077">
        <f t="shared" si="89"/>
        <v>0</v>
      </c>
      <c r="M1147" s="1090">
        <f>+H1147/'Parametros Generales'!$C$8</f>
        <v>8</v>
      </c>
      <c r="N1147" s="1097"/>
      <c r="O1147" s="1097"/>
      <c r="P1147" s="1097"/>
      <c r="Q1147" s="1097"/>
      <c r="R1147" s="1097">
        <f>+(M1147/'Parametros Generales'!$C$9)</f>
        <v>2</v>
      </c>
      <c r="S1147" s="390"/>
      <c r="T1147" s="390"/>
      <c r="U1147" s="390"/>
      <c r="V1147" s="389"/>
      <c r="W1147" s="32">
        <f>+R1147*'Componentes T.H.'!$Q$9*'Parametros Generales'!$C$6</f>
        <v>10037014.142000001</v>
      </c>
      <c r="X1147" s="32">
        <f>(+VLOOKUP(C1147,'Transporte y Viaticos'!$B$87:$L$120,2,0)*'Parametros Generales'!$C$7*R1147)*(2/3)</f>
        <v>980643.24663733994</v>
      </c>
      <c r="Y1147" s="417"/>
      <c r="Z1147" s="417"/>
      <c r="AA1147" s="417"/>
      <c r="AB1147" s="417">
        <f>+M1147*'Parametros Generales'!$C$6*'Parametros Generales'!$J$9</f>
        <v>3895272.7272727285</v>
      </c>
      <c r="AC1147" s="417">
        <f>+H1147*'Parametros Generales'!$J$10*'Parametros Generales'!$C$6*'Parametros Generales'!$C$11</f>
        <v>14738498.767401624</v>
      </c>
      <c r="AD1147" s="417"/>
      <c r="AE1147" s="417"/>
      <c r="AF1147" s="417"/>
      <c r="AG1147" s="417"/>
      <c r="AH1147" s="417"/>
      <c r="AI1147" s="417"/>
      <c r="AJ1147" s="417"/>
      <c r="AK1147" s="436"/>
      <c r="AL1147" s="822"/>
    </row>
    <row r="1148" spans="1:38" s="33" customFormat="1" hidden="1" outlineLevel="1">
      <c r="A1148" s="1150"/>
      <c r="B1148" s="821">
        <v>86</v>
      </c>
      <c r="C1148" s="371" t="s">
        <v>717</v>
      </c>
      <c r="D1148" s="31">
        <f>+VLOOKUP(E1148,Codigos!$A$1:$B$1123,2,0)</f>
        <v>86573</v>
      </c>
      <c r="E1148" s="1111" t="s">
        <v>2292</v>
      </c>
      <c r="F1148" s="1103">
        <v>1</v>
      </c>
      <c r="G1148" s="30">
        <v>198</v>
      </c>
      <c r="H1148" s="1061">
        <f>CEILING(G1148,'Parametros Generales'!$C$8)</f>
        <v>200</v>
      </c>
      <c r="I1148" s="1057" t="s">
        <v>720</v>
      </c>
      <c r="J1148" s="1058">
        <v>200</v>
      </c>
      <c r="K1148" s="1070" t="str">
        <f t="shared" si="88"/>
        <v>Ok</v>
      </c>
      <c r="L1148" s="1076">
        <f t="shared" si="89"/>
        <v>0</v>
      </c>
      <c r="M1148" s="1090">
        <f>+H1148/'Parametros Generales'!$C$8</f>
        <v>8</v>
      </c>
      <c r="N1148" s="1097"/>
      <c r="O1148" s="1097"/>
      <c r="P1148" s="1097"/>
      <c r="Q1148" s="1097"/>
      <c r="R1148" s="1097">
        <f>+(M1148/'Parametros Generales'!$C$9)</f>
        <v>2</v>
      </c>
      <c r="S1148" s="390"/>
      <c r="T1148" s="390"/>
      <c r="U1148" s="390"/>
      <c r="V1148" s="389"/>
      <c r="W1148" s="32">
        <f>+R1148*'Componentes T.H.'!$Q$9*'Parametros Generales'!$C$6</f>
        <v>10037014.142000001</v>
      </c>
      <c r="X1148" s="32">
        <f>(+VLOOKUP(C1148,'Transporte y Viaticos'!$B$87:$L$120,2,0)*'Parametros Generales'!$C$7*R1148)*(2/3)</f>
        <v>980643.24663733994</v>
      </c>
      <c r="Y1148" s="417"/>
      <c r="Z1148" s="417"/>
      <c r="AA1148" s="417"/>
      <c r="AB1148" s="417">
        <f>+M1148*'Parametros Generales'!$C$6*'Parametros Generales'!$J$9</f>
        <v>3895272.7272727285</v>
      </c>
      <c r="AC1148" s="417">
        <f>+H1148*'Parametros Generales'!$J$10*'Parametros Generales'!$C$6*'Parametros Generales'!$C$11</f>
        <v>14738498.767401624</v>
      </c>
      <c r="AD1148" s="417"/>
      <c r="AE1148" s="417"/>
      <c r="AF1148" s="417"/>
      <c r="AG1148" s="417"/>
      <c r="AH1148" s="417"/>
      <c r="AI1148" s="417"/>
      <c r="AJ1148" s="417"/>
      <c r="AK1148" s="436"/>
      <c r="AL1148" s="822"/>
    </row>
    <row r="1149" spans="1:38" s="33" customFormat="1" hidden="1" outlineLevel="1">
      <c r="A1149" s="1150"/>
      <c r="B1149" s="821">
        <v>86</v>
      </c>
      <c r="C1149" s="371" t="s">
        <v>717</v>
      </c>
      <c r="D1149" s="31">
        <f>+VLOOKUP(E1149,Codigos!$A$1:$B$1123,2,0)</f>
        <v>86320</v>
      </c>
      <c r="E1149" s="1111" t="s">
        <v>2293</v>
      </c>
      <c r="F1149" s="1103">
        <v>1</v>
      </c>
      <c r="G1149" s="30">
        <v>198</v>
      </c>
      <c r="H1149" s="1061">
        <f>CEILING(G1149,'Parametros Generales'!$C$8)</f>
        <v>200</v>
      </c>
      <c r="I1149" s="1057" t="s">
        <v>721</v>
      </c>
      <c r="J1149" s="1058">
        <v>200</v>
      </c>
      <c r="K1149" s="1070" t="str">
        <f t="shared" si="88"/>
        <v>Ok</v>
      </c>
      <c r="L1149" s="1077">
        <f t="shared" si="89"/>
        <v>0</v>
      </c>
      <c r="M1149" s="1090">
        <f>+H1149/'Parametros Generales'!$C$8</f>
        <v>8</v>
      </c>
      <c r="N1149" s="1097"/>
      <c r="O1149" s="1097"/>
      <c r="P1149" s="1097"/>
      <c r="Q1149" s="1097"/>
      <c r="R1149" s="1097">
        <f>+(M1149/'Parametros Generales'!$C$9)</f>
        <v>2</v>
      </c>
      <c r="S1149" s="390"/>
      <c r="T1149" s="390"/>
      <c r="U1149" s="390"/>
      <c r="V1149" s="389"/>
      <c r="W1149" s="32">
        <f>+R1149*'Componentes T.H.'!$Q$9*'Parametros Generales'!$C$6</f>
        <v>10037014.142000001</v>
      </c>
      <c r="X1149" s="32">
        <f>(+VLOOKUP(C1149,'Transporte y Viaticos'!$B$87:$L$120,2,0)*'Parametros Generales'!$C$7*R1149)*(2/3)</f>
        <v>980643.24663733994</v>
      </c>
      <c r="Y1149" s="417"/>
      <c r="Z1149" s="417"/>
      <c r="AA1149" s="417"/>
      <c r="AB1149" s="417">
        <f>+M1149*'Parametros Generales'!$C$6*'Parametros Generales'!$J$9</f>
        <v>3895272.7272727285</v>
      </c>
      <c r="AC1149" s="417">
        <f>+H1149*'Parametros Generales'!$J$10*'Parametros Generales'!$C$6*'Parametros Generales'!$C$11</f>
        <v>14738498.767401624</v>
      </c>
      <c r="AD1149" s="417"/>
      <c r="AE1149" s="417"/>
      <c r="AF1149" s="417"/>
      <c r="AG1149" s="417"/>
      <c r="AH1149" s="417"/>
      <c r="AI1149" s="417"/>
      <c r="AJ1149" s="417"/>
      <c r="AK1149" s="436"/>
      <c r="AL1149" s="822"/>
    </row>
    <row r="1150" spans="1:38" s="33" customFormat="1" hidden="1" outlineLevel="1">
      <c r="A1150" s="1150"/>
      <c r="B1150" s="821">
        <v>86</v>
      </c>
      <c r="C1150" s="371" t="s">
        <v>717</v>
      </c>
      <c r="D1150" s="31">
        <f>+VLOOKUP(E1150,Codigos!$A$1:$B$1123,2,0)</f>
        <v>86568</v>
      </c>
      <c r="E1150" s="1111" t="s">
        <v>2294</v>
      </c>
      <c r="F1150" s="1103">
        <v>1</v>
      </c>
      <c r="G1150" s="30">
        <v>396</v>
      </c>
      <c r="H1150" s="1061">
        <f>CEILING(G1150,'Parametros Generales'!$C$8)</f>
        <v>400</v>
      </c>
      <c r="I1150" s="1057" t="s">
        <v>722</v>
      </c>
      <c r="J1150" s="1058">
        <v>400</v>
      </c>
      <c r="K1150" s="1070" t="str">
        <f t="shared" si="88"/>
        <v>Ok</v>
      </c>
      <c r="L1150" s="1077">
        <f t="shared" si="89"/>
        <v>0</v>
      </c>
      <c r="M1150" s="1090">
        <f>+H1150/'Parametros Generales'!$C$8</f>
        <v>16</v>
      </c>
      <c r="N1150" s="1097"/>
      <c r="O1150" s="1097"/>
      <c r="P1150" s="1097"/>
      <c r="Q1150" s="1097"/>
      <c r="R1150" s="1097">
        <f>+(M1150/'Parametros Generales'!$C$9)</f>
        <v>4</v>
      </c>
      <c r="S1150" s="390"/>
      <c r="T1150" s="390"/>
      <c r="U1150" s="390"/>
      <c r="V1150" s="389"/>
      <c r="W1150" s="32">
        <f>+R1150*'Componentes T.H.'!$Q$9*'Parametros Generales'!$C$6</f>
        <v>20074028.284000002</v>
      </c>
      <c r="X1150" s="32">
        <f>(+VLOOKUP(C1150,'Transporte y Viaticos'!$B$87:$L$120,2,0)*'Parametros Generales'!$C$7*R1150)*(2/3)</f>
        <v>1961286.4932746799</v>
      </c>
      <c r="Y1150" s="417"/>
      <c r="Z1150" s="417"/>
      <c r="AA1150" s="417"/>
      <c r="AB1150" s="417">
        <f>+M1150*'Parametros Generales'!$C$6*'Parametros Generales'!$J$9</f>
        <v>7790545.4545454569</v>
      </c>
      <c r="AC1150" s="417">
        <f>+H1150*'Parametros Generales'!$J$10*'Parametros Generales'!$C$6*'Parametros Generales'!$C$11</f>
        <v>29476997.534803249</v>
      </c>
      <c r="AD1150" s="417"/>
      <c r="AE1150" s="417"/>
      <c r="AF1150" s="417"/>
      <c r="AG1150" s="417"/>
      <c r="AH1150" s="417"/>
      <c r="AI1150" s="417"/>
      <c r="AJ1150" s="417"/>
      <c r="AK1150" s="436"/>
      <c r="AL1150" s="822"/>
    </row>
    <row r="1151" spans="1:38" s="33" customFormat="1" hidden="1" outlineLevel="1">
      <c r="A1151" s="1150"/>
      <c r="B1151" s="821">
        <v>86</v>
      </c>
      <c r="C1151" s="371" t="s">
        <v>717</v>
      </c>
      <c r="D1151" s="31">
        <f>+VLOOKUP(E1151,Codigos!$A$1:$B$1123,2,0)</f>
        <v>86569</v>
      </c>
      <c r="E1151" s="1111" t="s">
        <v>2295</v>
      </c>
      <c r="F1151" s="1103">
        <v>1</v>
      </c>
      <c r="G1151" s="30">
        <v>198</v>
      </c>
      <c r="H1151" s="1061">
        <f>CEILING(G1151,'Parametros Generales'!$C$8)</f>
        <v>200</v>
      </c>
      <c r="I1151" s="1057" t="s">
        <v>723</v>
      </c>
      <c r="J1151" s="1058">
        <v>200</v>
      </c>
      <c r="K1151" s="1070" t="str">
        <f t="shared" si="88"/>
        <v>Ok</v>
      </c>
      <c r="L1151" s="1077">
        <f t="shared" si="89"/>
        <v>0</v>
      </c>
      <c r="M1151" s="1090">
        <f>+H1151/'Parametros Generales'!$C$8</f>
        <v>8</v>
      </c>
      <c r="N1151" s="1097"/>
      <c r="O1151" s="1097"/>
      <c r="P1151" s="1097"/>
      <c r="Q1151" s="1097"/>
      <c r="R1151" s="1097">
        <f>+(M1151/'Parametros Generales'!$C$9)</f>
        <v>2</v>
      </c>
      <c r="S1151" s="390"/>
      <c r="T1151" s="390"/>
      <c r="U1151" s="390"/>
      <c r="V1151" s="389"/>
      <c r="W1151" s="32">
        <f>+R1151*'Componentes T.H.'!$Q$9*'Parametros Generales'!$C$6</f>
        <v>10037014.142000001</v>
      </c>
      <c r="X1151" s="32">
        <f>(+VLOOKUP(C1151,'Transporte y Viaticos'!$B$87:$L$120,2,0)*'Parametros Generales'!$C$7*R1151)*(2/3)</f>
        <v>980643.24663733994</v>
      </c>
      <c r="Y1151" s="417"/>
      <c r="Z1151" s="417"/>
      <c r="AA1151" s="417"/>
      <c r="AB1151" s="417">
        <f>+M1151*'Parametros Generales'!$C$6*'Parametros Generales'!$J$9</f>
        <v>3895272.7272727285</v>
      </c>
      <c r="AC1151" s="417">
        <f>+H1151*'Parametros Generales'!$J$10*'Parametros Generales'!$C$6*'Parametros Generales'!$C$11</f>
        <v>14738498.767401624</v>
      </c>
      <c r="AD1151" s="417"/>
      <c r="AE1151" s="417"/>
      <c r="AF1151" s="417"/>
      <c r="AG1151" s="417"/>
      <c r="AH1151" s="417"/>
      <c r="AI1151" s="417"/>
      <c r="AJ1151" s="417"/>
      <c r="AK1151" s="436"/>
      <c r="AL1151" s="822"/>
    </row>
    <row r="1152" spans="1:38" s="33" customFormat="1" hidden="1" outlineLevel="1">
      <c r="A1152" s="1150"/>
      <c r="B1152" s="821">
        <v>86</v>
      </c>
      <c r="C1152" s="371" t="s">
        <v>717</v>
      </c>
      <c r="D1152" s="31">
        <f>+VLOOKUP(E1152,Codigos!$A$1:$B$1123,2,0)</f>
        <v>86571</v>
      </c>
      <c r="E1152" s="1111" t="s">
        <v>2296</v>
      </c>
      <c r="F1152" s="1103">
        <v>1</v>
      </c>
      <c r="G1152" s="30">
        <v>396</v>
      </c>
      <c r="H1152" s="1061">
        <f>CEILING(G1152,'Parametros Generales'!$C$8)</f>
        <v>400</v>
      </c>
      <c r="I1152" s="1057" t="s">
        <v>724</v>
      </c>
      <c r="J1152" s="1058">
        <v>400</v>
      </c>
      <c r="K1152" s="1070" t="str">
        <f t="shared" si="88"/>
        <v>Ok</v>
      </c>
      <c r="L1152" s="1077">
        <f t="shared" si="89"/>
        <v>0</v>
      </c>
      <c r="M1152" s="1090">
        <f>+H1152/'Parametros Generales'!$C$8</f>
        <v>16</v>
      </c>
      <c r="N1152" s="1097"/>
      <c r="O1152" s="1097"/>
      <c r="P1152" s="1097"/>
      <c r="Q1152" s="1097"/>
      <c r="R1152" s="1097">
        <f>+(M1152/'Parametros Generales'!$C$9)</f>
        <v>4</v>
      </c>
      <c r="S1152" s="390"/>
      <c r="T1152" s="390"/>
      <c r="U1152" s="390"/>
      <c r="V1152" s="389"/>
      <c r="W1152" s="32">
        <f>+R1152*'Componentes T.H.'!$Q$9*'Parametros Generales'!$C$6</f>
        <v>20074028.284000002</v>
      </c>
      <c r="X1152" s="32">
        <f>(+VLOOKUP(C1152,'Transporte y Viaticos'!$B$87:$L$120,2,0)*'Parametros Generales'!$C$7*R1152)*(2/3)</f>
        <v>1961286.4932746799</v>
      </c>
      <c r="Y1152" s="417"/>
      <c r="Z1152" s="417"/>
      <c r="AA1152" s="417"/>
      <c r="AB1152" s="417">
        <f>+M1152*'Parametros Generales'!$C$6*'Parametros Generales'!$J$9</f>
        <v>7790545.4545454569</v>
      </c>
      <c r="AC1152" s="417">
        <f>+H1152*'Parametros Generales'!$J$10*'Parametros Generales'!$C$6*'Parametros Generales'!$C$11</f>
        <v>29476997.534803249</v>
      </c>
      <c r="AD1152" s="417"/>
      <c r="AE1152" s="417"/>
      <c r="AF1152" s="417"/>
      <c r="AG1152" s="417"/>
      <c r="AH1152" s="417"/>
      <c r="AI1152" s="417"/>
      <c r="AJ1152" s="417"/>
      <c r="AK1152" s="436"/>
      <c r="AL1152" s="822"/>
    </row>
    <row r="1153" spans="1:38" s="33" customFormat="1" hidden="1" outlineLevel="1">
      <c r="A1153" s="1150"/>
      <c r="B1153" s="821">
        <v>86</v>
      </c>
      <c r="C1153" s="371" t="s">
        <v>717</v>
      </c>
      <c r="D1153" s="31">
        <f>+VLOOKUP(E1153,Codigos!$A$1:$B$1123,2,0)</f>
        <v>86757</v>
      </c>
      <c r="E1153" s="1111" t="s">
        <v>2297</v>
      </c>
      <c r="F1153" s="1103">
        <v>1</v>
      </c>
      <c r="G1153" s="30">
        <v>198</v>
      </c>
      <c r="H1153" s="1061">
        <f>CEILING(G1153,'Parametros Generales'!$C$8)</f>
        <v>200</v>
      </c>
      <c r="I1153" s="1057" t="s">
        <v>725</v>
      </c>
      <c r="J1153" s="1058">
        <v>200</v>
      </c>
      <c r="K1153" s="1070" t="str">
        <f t="shared" si="88"/>
        <v>Ok</v>
      </c>
      <c r="L1153" s="1077">
        <f t="shared" si="89"/>
        <v>0</v>
      </c>
      <c r="M1153" s="1090">
        <f>+H1153/'Parametros Generales'!$C$8</f>
        <v>8</v>
      </c>
      <c r="N1153" s="1097"/>
      <c r="O1153" s="1097"/>
      <c r="P1153" s="1097"/>
      <c r="Q1153" s="1097"/>
      <c r="R1153" s="1097">
        <f>+(M1153/'Parametros Generales'!$C$9)</f>
        <v>2</v>
      </c>
      <c r="S1153" s="390"/>
      <c r="T1153" s="390"/>
      <c r="U1153" s="390"/>
      <c r="V1153" s="389"/>
      <c r="W1153" s="32">
        <f>+R1153*'Componentes T.H.'!$Q$9*'Parametros Generales'!$C$6</f>
        <v>10037014.142000001</v>
      </c>
      <c r="X1153" s="32">
        <f>(+VLOOKUP(C1153,'Transporte y Viaticos'!$B$87:$L$120,2,0)*'Parametros Generales'!$C$7*R1153)*(2/3)</f>
        <v>980643.24663733994</v>
      </c>
      <c r="Y1153" s="417"/>
      <c r="Z1153" s="417"/>
      <c r="AA1153" s="417"/>
      <c r="AB1153" s="417">
        <f>+M1153*'Parametros Generales'!$C$6*'Parametros Generales'!$J$9</f>
        <v>3895272.7272727285</v>
      </c>
      <c r="AC1153" s="417">
        <f>+H1153*'Parametros Generales'!$J$10*'Parametros Generales'!$C$6*'Parametros Generales'!$C$11</f>
        <v>14738498.767401624</v>
      </c>
      <c r="AD1153" s="417"/>
      <c r="AE1153" s="417"/>
      <c r="AF1153" s="417"/>
      <c r="AG1153" s="417"/>
      <c r="AH1153" s="417"/>
      <c r="AI1153" s="417"/>
      <c r="AJ1153" s="417"/>
      <c r="AK1153" s="436"/>
      <c r="AL1153" s="822"/>
    </row>
    <row r="1154" spans="1:38" s="33" customFormat="1" hidden="1" outlineLevel="1">
      <c r="A1154" s="1150"/>
      <c r="B1154" s="821">
        <v>86</v>
      </c>
      <c r="C1154" s="371" t="s">
        <v>717</v>
      </c>
      <c r="D1154" s="31">
        <f>+VLOOKUP(E1154,Codigos!$A$1:$B$1123,2,0)</f>
        <v>86749</v>
      </c>
      <c r="E1154" s="1111" t="s">
        <v>2298</v>
      </c>
      <c r="F1154" s="1103">
        <v>1</v>
      </c>
      <c r="G1154" s="30">
        <v>198</v>
      </c>
      <c r="H1154" s="1061">
        <f>CEILING(G1154,'Parametros Generales'!$C$8)</f>
        <v>200</v>
      </c>
      <c r="I1154" s="1057" t="s">
        <v>726</v>
      </c>
      <c r="J1154" s="1058">
        <v>200</v>
      </c>
      <c r="K1154" s="1070" t="str">
        <f t="shared" si="88"/>
        <v>Ok</v>
      </c>
      <c r="L1154" s="1077">
        <f t="shared" si="89"/>
        <v>0</v>
      </c>
      <c r="M1154" s="1090">
        <f>+H1154/'Parametros Generales'!$C$8</f>
        <v>8</v>
      </c>
      <c r="N1154" s="1097"/>
      <c r="O1154" s="1097"/>
      <c r="P1154" s="1097"/>
      <c r="Q1154" s="1097"/>
      <c r="R1154" s="1097">
        <f>+(M1154/'Parametros Generales'!$C$9)</f>
        <v>2</v>
      </c>
      <c r="S1154" s="390"/>
      <c r="T1154" s="390"/>
      <c r="U1154" s="390"/>
      <c r="V1154" s="389"/>
      <c r="W1154" s="32">
        <f>+R1154*'Componentes T.H.'!$Q$9*'Parametros Generales'!$C$6</f>
        <v>10037014.142000001</v>
      </c>
      <c r="X1154" s="32">
        <f>(+VLOOKUP(C1154,'Transporte y Viaticos'!$B$87:$L$120,2,0)*'Parametros Generales'!$C$7*R1154)*(2/3)</f>
        <v>980643.24663733994</v>
      </c>
      <c r="Y1154" s="417"/>
      <c r="Z1154" s="417"/>
      <c r="AA1154" s="417"/>
      <c r="AB1154" s="417">
        <f>+M1154*'Parametros Generales'!$C$6*'Parametros Generales'!$J$9</f>
        <v>3895272.7272727285</v>
      </c>
      <c r="AC1154" s="417">
        <f>+H1154*'Parametros Generales'!$J$10*'Parametros Generales'!$C$6*'Parametros Generales'!$C$11</f>
        <v>14738498.767401624</v>
      </c>
      <c r="AD1154" s="417"/>
      <c r="AE1154" s="417"/>
      <c r="AF1154" s="417"/>
      <c r="AG1154" s="417"/>
      <c r="AH1154" s="417"/>
      <c r="AI1154" s="417"/>
      <c r="AJ1154" s="417"/>
      <c r="AK1154" s="436"/>
      <c r="AL1154" s="822"/>
    </row>
    <row r="1155" spans="1:38" s="33" customFormat="1" hidden="1" outlineLevel="1">
      <c r="A1155" s="1150"/>
      <c r="B1155" s="821">
        <v>86</v>
      </c>
      <c r="C1155" s="371" t="s">
        <v>717</v>
      </c>
      <c r="D1155" s="31">
        <f>+VLOOKUP(E1155,Codigos!$A$1:$B$1123,2,0)</f>
        <v>86865</v>
      </c>
      <c r="E1155" s="1111" t="s">
        <v>2299</v>
      </c>
      <c r="F1155" s="1103">
        <v>1</v>
      </c>
      <c r="G1155" s="30">
        <v>198</v>
      </c>
      <c r="H1155" s="1061">
        <f>CEILING(G1155,'Parametros Generales'!$C$8)</f>
        <v>200</v>
      </c>
      <c r="I1155" s="1057" t="s">
        <v>727</v>
      </c>
      <c r="J1155" s="1058">
        <v>200</v>
      </c>
      <c r="K1155" s="1070" t="str">
        <f t="shared" ref="K1155:K1218" si="94">+IF(I1155=E1155,"Ok","Rev")</f>
        <v>Ok</v>
      </c>
      <c r="L1155" s="1077">
        <f t="shared" ref="L1155:L1218" si="95">+J1155-H1155</f>
        <v>0</v>
      </c>
      <c r="M1155" s="1090">
        <f>+H1155/'Parametros Generales'!$C$8</f>
        <v>8</v>
      </c>
      <c r="N1155" s="1097"/>
      <c r="O1155" s="1097"/>
      <c r="P1155" s="1097"/>
      <c r="Q1155" s="1097"/>
      <c r="R1155" s="1097">
        <f>+(M1155/'Parametros Generales'!$C$9)</f>
        <v>2</v>
      </c>
      <c r="S1155" s="390"/>
      <c r="T1155" s="390"/>
      <c r="U1155" s="390"/>
      <c r="V1155" s="389"/>
      <c r="W1155" s="32">
        <f>+R1155*'Componentes T.H.'!$Q$9*'Parametros Generales'!$C$6</f>
        <v>10037014.142000001</v>
      </c>
      <c r="X1155" s="32">
        <f>(+VLOOKUP(C1155,'Transporte y Viaticos'!$B$87:$L$120,2,0)*'Parametros Generales'!$C$7*R1155)*(2/3)</f>
        <v>980643.24663733994</v>
      </c>
      <c r="Y1155" s="417"/>
      <c r="Z1155" s="417"/>
      <c r="AA1155" s="417"/>
      <c r="AB1155" s="417">
        <f>+M1155*'Parametros Generales'!$C$6*'Parametros Generales'!$J$9</f>
        <v>3895272.7272727285</v>
      </c>
      <c r="AC1155" s="417">
        <f>+H1155*'Parametros Generales'!$J$10*'Parametros Generales'!$C$6*'Parametros Generales'!$C$11</f>
        <v>14738498.767401624</v>
      </c>
      <c r="AD1155" s="417"/>
      <c r="AE1155" s="417"/>
      <c r="AF1155" s="417"/>
      <c r="AG1155" s="417"/>
      <c r="AH1155" s="417"/>
      <c r="AI1155" s="417"/>
      <c r="AJ1155" s="417"/>
      <c r="AK1155" s="436"/>
      <c r="AL1155" s="822"/>
    </row>
    <row r="1156" spans="1:38" s="33" customFormat="1" hidden="1" outlineLevel="1">
      <c r="A1156" s="1150"/>
      <c r="B1156" s="823">
        <v>86</v>
      </c>
      <c r="C1156" s="373" t="s">
        <v>717</v>
      </c>
      <c r="D1156" s="374">
        <f>+VLOOKUP(E1156,Codigos!$A$1:$B$1123,2,0)</f>
        <v>86885</v>
      </c>
      <c r="E1156" s="1113" t="s">
        <v>2300</v>
      </c>
      <c r="F1156" s="1104">
        <v>1</v>
      </c>
      <c r="G1156" s="375">
        <v>396</v>
      </c>
      <c r="H1156" s="1062">
        <f>CEILING(G1156,'Parametros Generales'!$C$8)</f>
        <v>400</v>
      </c>
      <c r="I1156" s="1057" t="s">
        <v>728</v>
      </c>
      <c r="J1156" s="1058">
        <v>400</v>
      </c>
      <c r="K1156" s="1070" t="str">
        <f t="shared" si="94"/>
        <v>Ok</v>
      </c>
      <c r="L1156" s="1077">
        <f t="shared" si="95"/>
        <v>0</v>
      </c>
      <c r="M1156" s="1091">
        <f>+H1156/'Parametros Generales'!$C$8</f>
        <v>16</v>
      </c>
      <c r="N1156" s="1098"/>
      <c r="O1156" s="1098"/>
      <c r="P1156" s="1098"/>
      <c r="Q1156" s="1098"/>
      <c r="R1156" s="1098">
        <f>+(M1156/'Parametros Generales'!$C$9)</f>
        <v>4</v>
      </c>
      <c r="S1156" s="395"/>
      <c r="T1156" s="395"/>
      <c r="U1156" s="395"/>
      <c r="V1156" s="396"/>
      <c r="W1156" s="376">
        <f>+R1156*'Componentes T.H.'!$Q$9*'Parametros Generales'!$C$6</f>
        <v>20074028.284000002</v>
      </c>
      <c r="X1156" s="376">
        <f>(+VLOOKUP(C1156,'Transporte y Viaticos'!$B$87:$L$120,2,0)*'Parametros Generales'!$C$7*R1156)*(2/3)</f>
        <v>1961286.4932746799</v>
      </c>
      <c r="Y1156" s="417"/>
      <c r="Z1156" s="417"/>
      <c r="AA1156" s="417"/>
      <c r="AB1156" s="417">
        <f>+M1156*'Parametros Generales'!$C$6*'Parametros Generales'!$J$9</f>
        <v>7790545.4545454569</v>
      </c>
      <c r="AC1156" s="417">
        <f>+H1156*'Parametros Generales'!$J$10*'Parametros Generales'!$C$6*'Parametros Generales'!$C$11</f>
        <v>29476997.534803249</v>
      </c>
      <c r="AD1156" s="417"/>
      <c r="AE1156" s="417"/>
      <c r="AF1156" s="417"/>
      <c r="AG1156" s="417"/>
      <c r="AH1156" s="417"/>
      <c r="AI1156" s="417"/>
      <c r="AJ1156" s="417"/>
      <c r="AK1156" s="436"/>
      <c r="AL1156" s="822"/>
    </row>
    <row r="1157" spans="1:38" s="33" customFormat="1" hidden="1" outlineLevel="1">
      <c r="A1157" s="1150"/>
      <c r="B1157" s="823">
        <f t="shared" ref="B1157:B1168" si="96">+B1156</f>
        <v>86</v>
      </c>
      <c r="C1157" s="373" t="str">
        <f t="shared" ref="C1157:C1168" si="97">+C1156</f>
        <v>PUTUMAYO</v>
      </c>
      <c r="D1157" s="374"/>
      <c r="E1157" s="1113"/>
      <c r="F1157" s="1104"/>
      <c r="G1157" s="375"/>
      <c r="H1157" s="1062"/>
      <c r="I1157" s="1057"/>
      <c r="J1157" s="1058"/>
      <c r="K1157" s="1070" t="str">
        <f t="shared" si="94"/>
        <v>Ok</v>
      </c>
      <c r="L1157" s="1077">
        <f t="shared" si="95"/>
        <v>0</v>
      </c>
      <c r="M1157" s="1091">
        <f>+H1157/'Parametros Generales'!$C$8</f>
        <v>0</v>
      </c>
      <c r="N1157" s="1098"/>
      <c r="O1157" s="1098"/>
      <c r="P1157" s="1098"/>
      <c r="Q1157" s="1098"/>
      <c r="R1157" s="1098">
        <f>+(M1157/'Parametros Generales'!$C$9)</f>
        <v>0</v>
      </c>
      <c r="S1157" s="395"/>
      <c r="T1157" s="395"/>
      <c r="U1157" s="395"/>
      <c r="V1157" s="396"/>
      <c r="W1157" s="376">
        <f>+R1157*'Componentes T.H.'!$Q$9*'Parametros Generales'!$C$6</f>
        <v>0</v>
      </c>
      <c r="X1157" s="376">
        <f>(+VLOOKUP(C1157,'Transporte y Viaticos'!$B$87:$L$120,2,0)*'Parametros Generales'!$C$7*R1157)*(2/3)</f>
        <v>0</v>
      </c>
      <c r="Y1157" s="417"/>
      <c r="Z1157" s="417"/>
      <c r="AA1157" s="417"/>
      <c r="AB1157" s="417">
        <f>+M1157*'Parametros Generales'!$C$6*'Parametros Generales'!$J$9</f>
        <v>0</v>
      </c>
      <c r="AC1157" s="417">
        <f>+H1157*'Parametros Generales'!$J$10*'Parametros Generales'!$C$6*'Parametros Generales'!$C$11</f>
        <v>0</v>
      </c>
      <c r="AD1157" s="417"/>
      <c r="AE1157" s="417"/>
      <c r="AF1157" s="417"/>
      <c r="AG1157" s="417"/>
      <c r="AH1157" s="417"/>
      <c r="AI1157" s="417"/>
      <c r="AJ1157" s="417"/>
      <c r="AK1157" s="436"/>
      <c r="AL1157" s="822"/>
    </row>
    <row r="1158" spans="1:38" s="33" customFormat="1" hidden="1" outlineLevel="1">
      <c r="A1158" s="1150"/>
      <c r="B1158" s="823">
        <f t="shared" si="96"/>
        <v>86</v>
      </c>
      <c r="C1158" s="373" t="str">
        <f t="shared" si="97"/>
        <v>PUTUMAYO</v>
      </c>
      <c r="D1158" s="374"/>
      <c r="E1158" s="1113"/>
      <c r="F1158" s="1104"/>
      <c r="G1158" s="375"/>
      <c r="H1158" s="1062"/>
      <c r="I1158" s="1057"/>
      <c r="J1158" s="1058"/>
      <c r="K1158" s="1070" t="str">
        <f t="shared" si="94"/>
        <v>Ok</v>
      </c>
      <c r="L1158" s="1077">
        <f t="shared" si="95"/>
        <v>0</v>
      </c>
      <c r="M1158" s="1091">
        <f>+H1158/'Parametros Generales'!$C$8</f>
        <v>0</v>
      </c>
      <c r="N1158" s="1098"/>
      <c r="O1158" s="1098"/>
      <c r="P1158" s="1098"/>
      <c r="Q1158" s="1098"/>
      <c r="R1158" s="1098">
        <f>+(M1158/'Parametros Generales'!$C$9)</f>
        <v>0</v>
      </c>
      <c r="S1158" s="395"/>
      <c r="T1158" s="395"/>
      <c r="U1158" s="395"/>
      <c r="V1158" s="396"/>
      <c r="W1158" s="376">
        <f>+R1158*'Componentes T.H.'!$Q$9*'Parametros Generales'!$C$6</f>
        <v>0</v>
      </c>
      <c r="X1158" s="376">
        <f>(+VLOOKUP(C1158,'Transporte y Viaticos'!$B$87:$L$120,2,0)*'Parametros Generales'!$C$7*R1158)*(2/3)</f>
        <v>0</v>
      </c>
      <c r="Y1158" s="417"/>
      <c r="Z1158" s="417"/>
      <c r="AA1158" s="417"/>
      <c r="AB1158" s="417">
        <f>+M1158*'Parametros Generales'!$C$6*'Parametros Generales'!$J$9</f>
        <v>0</v>
      </c>
      <c r="AC1158" s="417">
        <f>+H1158*'Parametros Generales'!$J$10*'Parametros Generales'!$C$6*'Parametros Generales'!$C$11</f>
        <v>0</v>
      </c>
      <c r="AD1158" s="417"/>
      <c r="AE1158" s="417"/>
      <c r="AF1158" s="417"/>
      <c r="AG1158" s="417"/>
      <c r="AH1158" s="417"/>
      <c r="AI1158" s="417"/>
      <c r="AJ1158" s="417"/>
      <c r="AK1158" s="436"/>
      <c r="AL1158" s="822"/>
    </row>
    <row r="1159" spans="1:38" s="33" customFormat="1" hidden="1" outlineLevel="1">
      <c r="A1159" s="1150"/>
      <c r="B1159" s="823">
        <f t="shared" si="96"/>
        <v>86</v>
      </c>
      <c r="C1159" s="373" t="str">
        <f t="shared" si="97"/>
        <v>PUTUMAYO</v>
      </c>
      <c r="D1159" s="374"/>
      <c r="E1159" s="1113"/>
      <c r="F1159" s="1104"/>
      <c r="G1159" s="375"/>
      <c r="H1159" s="1062"/>
      <c r="I1159" s="1057"/>
      <c r="J1159" s="1058"/>
      <c r="K1159" s="1070" t="str">
        <f t="shared" si="94"/>
        <v>Ok</v>
      </c>
      <c r="L1159" s="1077">
        <f t="shared" si="95"/>
        <v>0</v>
      </c>
      <c r="M1159" s="1091">
        <f>+H1159/'Parametros Generales'!$C$8</f>
        <v>0</v>
      </c>
      <c r="N1159" s="1098"/>
      <c r="O1159" s="1098"/>
      <c r="P1159" s="1098"/>
      <c r="Q1159" s="1098"/>
      <c r="R1159" s="1098">
        <f>+(M1159/'Parametros Generales'!$C$9)</f>
        <v>0</v>
      </c>
      <c r="S1159" s="395"/>
      <c r="T1159" s="395"/>
      <c r="U1159" s="395"/>
      <c r="V1159" s="396"/>
      <c r="W1159" s="376">
        <f>+R1159*'Componentes T.H.'!$Q$9*'Parametros Generales'!$C$6</f>
        <v>0</v>
      </c>
      <c r="X1159" s="376">
        <f>(+VLOOKUP(C1159,'Transporte y Viaticos'!$B$87:$L$120,2,0)*'Parametros Generales'!$C$7*R1159)*(2/3)</f>
        <v>0</v>
      </c>
      <c r="Y1159" s="417"/>
      <c r="Z1159" s="417"/>
      <c r="AA1159" s="417"/>
      <c r="AB1159" s="417">
        <f>+M1159*'Parametros Generales'!$C$6*'Parametros Generales'!$J$9</f>
        <v>0</v>
      </c>
      <c r="AC1159" s="417">
        <f>+H1159*'Parametros Generales'!$J$10*'Parametros Generales'!$C$6*'Parametros Generales'!$C$11</f>
        <v>0</v>
      </c>
      <c r="AD1159" s="417"/>
      <c r="AE1159" s="417"/>
      <c r="AF1159" s="417"/>
      <c r="AG1159" s="417"/>
      <c r="AH1159" s="417"/>
      <c r="AI1159" s="417"/>
      <c r="AJ1159" s="417"/>
      <c r="AK1159" s="436"/>
      <c r="AL1159" s="822"/>
    </row>
    <row r="1160" spans="1:38" s="33" customFormat="1" hidden="1" outlineLevel="1">
      <c r="A1160" s="1150"/>
      <c r="B1160" s="823">
        <f t="shared" si="96"/>
        <v>86</v>
      </c>
      <c r="C1160" s="373" t="str">
        <f t="shared" si="97"/>
        <v>PUTUMAYO</v>
      </c>
      <c r="D1160" s="374"/>
      <c r="E1160" s="1113"/>
      <c r="F1160" s="1104"/>
      <c r="G1160" s="375"/>
      <c r="H1160" s="1062"/>
      <c r="I1160" s="1057"/>
      <c r="J1160" s="1058"/>
      <c r="K1160" s="1070" t="str">
        <f t="shared" si="94"/>
        <v>Ok</v>
      </c>
      <c r="L1160" s="1077">
        <f t="shared" si="95"/>
        <v>0</v>
      </c>
      <c r="M1160" s="1091">
        <f>+H1160/'Parametros Generales'!$C$8</f>
        <v>0</v>
      </c>
      <c r="N1160" s="1098"/>
      <c r="O1160" s="1098"/>
      <c r="P1160" s="1098"/>
      <c r="Q1160" s="1098"/>
      <c r="R1160" s="1098">
        <f>+(M1160/'Parametros Generales'!$C$9)</f>
        <v>0</v>
      </c>
      <c r="S1160" s="395"/>
      <c r="T1160" s="395"/>
      <c r="U1160" s="395"/>
      <c r="V1160" s="396"/>
      <c r="W1160" s="376">
        <f>+R1160*'Componentes T.H.'!$Q$9*'Parametros Generales'!$C$6</f>
        <v>0</v>
      </c>
      <c r="X1160" s="376">
        <f>(+VLOOKUP(C1160,'Transporte y Viaticos'!$B$87:$L$120,2,0)*'Parametros Generales'!$C$7*R1160)*(2/3)</f>
        <v>0</v>
      </c>
      <c r="Y1160" s="417"/>
      <c r="Z1160" s="417"/>
      <c r="AA1160" s="417"/>
      <c r="AB1160" s="417">
        <f>+M1160*'Parametros Generales'!$C$6*'Parametros Generales'!$J$9</f>
        <v>0</v>
      </c>
      <c r="AC1160" s="417">
        <f>+H1160*'Parametros Generales'!$J$10*'Parametros Generales'!$C$6*'Parametros Generales'!$C$11</f>
        <v>0</v>
      </c>
      <c r="AD1160" s="417"/>
      <c r="AE1160" s="417"/>
      <c r="AF1160" s="417"/>
      <c r="AG1160" s="417"/>
      <c r="AH1160" s="417"/>
      <c r="AI1160" s="417"/>
      <c r="AJ1160" s="417"/>
      <c r="AK1160" s="436"/>
      <c r="AL1160" s="822"/>
    </row>
    <row r="1161" spans="1:38" s="33" customFormat="1" hidden="1" outlineLevel="1">
      <c r="A1161" s="1150"/>
      <c r="B1161" s="823">
        <f t="shared" si="96"/>
        <v>86</v>
      </c>
      <c r="C1161" s="373" t="str">
        <f t="shared" si="97"/>
        <v>PUTUMAYO</v>
      </c>
      <c r="D1161" s="374"/>
      <c r="E1161" s="1113"/>
      <c r="F1161" s="1104"/>
      <c r="G1161" s="375"/>
      <c r="H1161" s="1062"/>
      <c r="I1161" s="1057"/>
      <c r="J1161" s="1058"/>
      <c r="K1161" s="1070" t="str">
        <f t="shared" si="94"/>
        <v>Ok</v>
      </c>
      <c r="L1161" s="1077">
        <f t="shared" si="95"/>
        <v>0</v>
      </c>
      <c r="M1161" s="1091">
        <f>+H1161/'Parametros Generales'!$C$8</f>
        <v>0</v>
      </c>
      <c r="N1161" s="1098"/>
      <c r="O1161" s="1098"/>
      <c r="P1161" s="1098"/>
      <c r="Q1161" s="1098"/>
      <c r="R1161" s="1098">
        <f>+(M1161/'Parametros Generales'!$C$9)</f>
        <v>0</v>
      </c>
      <c r="S1161" s="395"/>
      <c r="T1161" s="395"/>
      <c r="U1161" s="395"/>
      <c r="V1161" s="396"/>
      <c r="W1161" s="376">
        <f>+R1161*'Componentes T.H.'!$Q$9*'Parametros Generales'!$C$6</f>
        <v>0</v>
      </c>
      <c r="X1161" s="376">
        <f>(+VLOOKUP(C1161,'Transporte y Viaticos'!$B$87:$L$120,2,0)*'Parametros Generales'!$C$7*R1161)*(2/3)</f>
        <v>0</v>
      </c>
      <c r="Y1161" s="417"/>
      <c r="Z1161" s="417"/>
      <c r="AA1161" s="417"/>
      <c r="AB1161" s="417">
        <f>+M1161*'Parametros Generales'!$C$6*'Parametros Generales'!$J$9</f>
        <v>0</v>
      </c>
      <c r="AC1161" s="417">
        <f>+H1161*'Parametros Generales'!$J$10*'Parametros Generales'!$C$6*'Parametros Generales'!$C$11</f>
        <v>0</v>
      </c>
      <c r="AD1161" s="417"/>
      <c r="AE1161" s="417"/>
      <c r="AF1161" s="417"/>
      <c r="AG1161" s="417"/>
      <c r="AH1161" s="417"/>
      <c r="AI1161" s="417"/>
      <c r="AJ1161" s="417"/>
      <c r="AK1161" s="436"/>
      <c r="AL1161" s="822"/>
    </row>
    <row r="1162" spans="1:38" s="33" customFormat="1" hidden="1" outlineLevel="1">
      <c r="A1162" s="1150"/>
      <c r="B1162" s="823">
        <f t="shared" si="96"/>
        <v>86</v>
      </c>
      <c r="C1162" s="373" t="str">
        <f t="shared" si="97"/>
        <v>PUTUMAYO</v>
      </c>
      <c r="D1162" s="374"/>
      <c r="E1162" s="1113"/>
      <c r="F1162" s="1104"/>
      <c r="G1162" s="375"/>
      <c r="H1162" s="1062"/>
      <c r="I1162" s="1057"/>
      <c r="J1162" s="1058"/>
      <c r="K1162" s="1070" t="str">
        <f t="shared" si="94"/>
        <v>Ok</v>
      </c>
      <c r="L1162" s="1077">
        <f t="shared" si="95"/>
        <v>0</v>
      </c>
      <c r="M1162" s="1091">
        <f>+H1162/'Parametros Generales'!$C$8</f>
        <v>0</v>
      </c>
      <c r="N1162" s="1098"/>
      <c r="O1162" s="1098"/>
      <c r="P1162" s="1098"/>
      <c r="Q1162" s="1098"/>
      <c r="R1162" s="1098">
        <f>+(M1162/'Parametros Generales'!$C$9)</f>
        <v>0</v>
      </c>
      <c r="S1162" s="395"/>
      <c r="T1162" s="395"/>
      <c r="U1162" s="395"/>
      <c r="V1162" s="396"/>
      <c r="W1162" s="376">
        <f>+R1162*'Componentes T.H.'!$Q$9*'Parametros Generales'!$C$6</f>
        <v>0</v>
      </c>
      <c r="X1162" s="376">
        <f>(+VLOOKUP(C1162,'Transporte y Viaticos'!$B$87:$L$120,2,0)*'Parametros Generales'!$C$7*R1162)*(2/3)</f>
        <v>0</v>
      </c>
      <c r="Y1162" s="417"/>
      <c r="Z1162" s="417"/>
      <c r="AA1162" s="417"/>
      <c r="AB1162" s="417">
        <f>+M1162*'Parametros Generales'!$C$6*'Parametros Generales'!$J$9</f>
        <v>0</v>
      </c>
      <c r="AC1162" s="417">
        <f>+H1162*'Parametros Generales'!$J$10*'Parametros Generales'!$C$6*'Parametros Generales'!$C$11</f>
        <v>0</v>
      </c>
      <c r="AD1162" s="417"/>
      <c r="AE1162" s="417"/>
      <c r="AF1162" s="417"/>
      <c r="AG1162" s="417"/>
      <c r="AH1162" s="417"/>
      <c r="AI1162" s="417"/>
      <c r="AJ1162" s="417"/>
      <c r="AK1162" s="436"/>
      <c r="AL1162" s="822"/>
    </row>
    <row r="1163" spans="1:38" s="33" customFormat="1" hidden="1" outlineLevel="1">
      <c r="A1163" s="1150"/>
      <c r="B1163" s="823">
        <f t="shared" si="96"/>
        <v>86</v>
      </c>
      <c r="C1163" s="373" t="str">
        <f t="shared" si="97"/>
        <v>PUTUMAYO</v>
      </c>
      <c r="D1163" s="374"/>
      <c r="E1163" s="1113"/>
      <c r="F1163" s="1104"/>
      <c r="G1163" s="375"/>
      <c r="H1163" s="1062"/>
      <c r="I1163" s="1057"/>
      <c r="J1163" s="1058"/>
      <c r="K1163" s="1070" t="str">
        <f t="shared" si="94"/>
        <v>Ok</v>
      </c>
      <c r="L1163" s="1077">
        <f t="shared" si="95"/>
        <v>0</v>
      </c>
      <c r="M1163" s="1091">
        <f>+H1163/'Parametros Generales'!$C$8</f>
        <v>0</v>
      </c>
      <c r="N1163" s="1098"/>
      <c r="O1163" s="1098"/>
      <c r="P1163" s="1098"/>
      <c r="Q1163" s="1098"/>
      <c r="R1163" s="1098">
        <f>+(M1163/'Parametros Generales'!$C$9)</f>
        <v>0</v>
      </c>
      <c r="S1163" s="395"/>
      <c r="T1163" s="395"/>
      <c r="U1163" s="395"/>
      <c r="V1163" s="396"/>
      <c r="W1163" s="376">
        <f>+R1163*'Componentes T.H.'!$Q$9*'Parametros Generales'!$C$6</f>
        <v>0</v>
      </c>
      <c r="X1163" s="376">
        <f>(+VLOOKUP(C1163,'Transporte y Viaticos'!$B$87:$L$120,2,0)*'Parametros Generales'!$C$7*R1163)*(2/3)</f>
        <v>0</v>
      </c>
      <c r="Y1163" s="417"/>
      <c r="Z1163" s="417"/>
      <c r="AA1163" s="417"/>
      <c r="AB1163" s="417">
        <f>+M1163*'Parametros Generales'!$C$6*'Parametros Generales'!$J$9</f>
        <v>0</v>
      </c>
      <c r="AC1163" s="417">
        <f>+H1163*'Parametros Generales'!$J$10*'Parametros Generales'!$C$6*'Parametros Generales'!$C$11</f>
        <v>0</v>
      </c>
      <c r="AD1163" s="417"/>
      <c r="AE1163" s="417"/>
      <c r="AF1163" s="417"/>
      <c r="AG1163" s="417"/>
      <c r="AH1163" s="417"/>
      <c r="AI1163" s="417"/>
      <c r="AJ1163" s="417"/>
      <c r="AK1163" s="436"/>
      <c r="AL1163" s="822"/>
    </row>
    <row r="1164" spans="1:38" s="33" customFormat="1" hidden="1" outlineLevel="1">
      <c r="A1164" s="1150"/>
      <c r="B1164" s="823">
        <f t="shared" si="96"/>
        <v>86</v>
      </c>
      <c r="C1164" s="373" t="str">
        <f t="shared" si="97"/>
        <v>PUTUMAYO</v>
      </c>
      <c r="D1164" s="374"/>
      <c r="E1164" s="1113"/>
      <c r="F1164" s="1104"/>
      <c r="G1164" s="375"/>
      <c r="H1164" s="1062"/>
      <c r="I1164" s="1057"/>
      <c r="J1164" s="1058"/>
      <c r="K1164" s="1070" t="str">
        <f t="shared" si="94"/>
        <v>Ok</v>
      </c>
      <c r="L1164" s="1077">
        <f t="shared" si="95"/>
        <v>0</v>
      </c>
      <c r="M1164" s="1091">
        <f>+H1164/'Parametros Generales'!$C$8</f>
        <v>0</v>
      </c>
      <c r="N1164" s="1098"/>
      <c r="O1164" s="1098"/>
      <c r="P1164" s="1098"/>
      <c r="Q1164" s="1098"/>
      <c r="R1164" s="1098">
        <f>+(M1164/'Parametros Generales'!$C$9)</f>
        <v>0</v>
      </c>
      <c r="S1164" s="395"/>
      <c r="T1164" s="395"/>
      <c r="U1164" s="395"/>
      <c r="V1164" s="396"/>
      <c r="W1164" s="376">
        <f>+R1164*'Componentes T.H.'!$Q$9*'Parametros Generales'!$C$6</f>
        <v>0</v>
      </c>
      <c r="X1164" s="376">
        <f>(+VLOOKUP(C1164,'Transporte y Viaticos'!$B$87:$L$120,2,0)*'Parametros Generales'!$C$7*R1164)*(2/3)</f>
        <v>0</v>
      </c>
      <c r="Y1164" s="417"/>
      <c r="Z1164" s="417"/>
      <c r="AA1164" s="417"/>
      <c r="AB1164" s="417">
        <f>+M1164*'Parametros Generales'!$C$6*'Parametros Generales'!$J$9</f>
        <v>0</v>
      </c>
      <c r="AC1164" s="417">
        <f>+H1164*'Parametros Generales'!$J$10*'Parametros Generales'!$C$6*'Parametros Generales'!$C$11</f>
        <v>0</v>
      </c>
      <c r="AD1164" s="417"/>
      <c r="AE1164" s="417"/>
      <c r="AF1164" s="417"/>
      <c r="AG1164" s="417"/>
      <c r="AH1164" s="417"/>
      <c r="AI1164" s="417"/>
      <c r="AJ1164" s="417"/>
      <c r="AK1164" s="436"/>
      <c r="AL1164" s="822"/>
    </row>
    <row r="1165" spans="1:38" s="33" customFormat="1" hidden="1" outlineLevel="1">
      <c r="A1165" s="1150"/>
      <c r="B1165" s="823">
        <f t="shared" si="96"/>
        <v>86</v>
      </c>
      <c r="C1165" s="373" t="str">
        <f t="shared" si="97"/>
        <v>PUTUMAYO</v>
      </c>
      <c r="D1165" s="374"/>
      <c r="E1165" s="1113"/>
      <c r="F1165" s="1104"/>
      <c r="G1165" s="375"/>
      <c r="H1165" s="1062"/>
      <c r="I1165" s="1057"/>
      <c r="J1165" s="1058"/>
      <c r="K1165" s="1070" t="str">
        <f t="shared" si="94"/>
        <v>Ok</v>
      </c>
      <c r="L1165" s="1077">
        <f t="shared" si="95"/>
        <v>0</v>
      </c>
      <c r="M1165" s="1091">
        <f>+H1165/'Parametros Generales'!$C$8</f>
        <v>0</v>
      </c>
      <c r="N1165" s="1098"/>
      <c r="O1165" s="1098"/>
      <c r="P1165" s="1098"/>
      <c r="Q1165" s="1098"/>
      <c r="R1165" s="1098">
        <f>+(M1165/'Parametros Generales'!$C$9)</f>
        <v>0</v>
      </c>
      <c r="S1165" s="395"/>
      <c r="T1165" s="395"/>
      <c r="U1165" s="395"/>
      <c r="V1165" s="396"/>
      <c r="W1165" s="376">
        <f>+R1165*'Componentes T.H.'!$Q$9*'Parametros Generales'!$C$6</f>
        <v>0</v>
      </c>
      <c r="X1165" s="376">
        <f>(+VLOOKUP(C1165,'Transporte y Viaticos'!$B$87:$L$120,2,0)*'Parametros Generales'!$C$7*R1165)*(2/3)</f>
        <v>0</v>
      </c>
      <c r="Y1165" s="417"/>
      <c r="Z1165" s="417"/>
      <c r="AA1165" s="417"/>
      <c r="AB1165" s="417">
        <f>+M1165*'Parametros Generales'!$C$6*'Parametros Generales'!$J$9</f>
        <v>0</v>
      </c>
      <c r="AC1165" s="417">
        <f>+H1165*'Parametros Generales'!$J$10*'Parametros Generales'!$C$6*'Parametros Generales'!$C$11</f>
        <v>0</v>
      </c>
      <c r="AD1165" s="417"/>
      <c r="AE1165" s="417"/>
      <c r="AF1165" s="417"/>
      <c r="AG1165" s="417"/>
      <c r="AH1165" s="417"/>
      <c r="AI1165" s="417"/>
      <c r="AJ1165" s="417"/>
      <c r="AK1165" s="436"/>
      <c r="AL1165" s="822"/>
    </row>
    <row r="1166" spans="1:38" s="33" customFormat="1" hidden="1" outlineLevel="1">
      <c r="A1166" s="1150"/>
      <c r="B1166" s="823">
        <f t="shared" si="96"/>
        <v>86</v>
      </c>
      <c r="C1166" s="373" t="str">
        <f t="shared" si="97"/>
        <v>PUTUMAYO</v>
      </c>
      <c r="D1166" s="374"/>
      <c r="E1166" s="1113"/>
      <c r="F1166" s="1104"/>
      <c r="G1166" s="375"/>
      <c r="H1166" s="1062"/>
      <c r="I1166" s="1057"/>
      <c r="J1166" s="1058"/>
      <c r="K1166" s="1070" t="str">
        <f t="shared" si="94"/>
        <v>Ok</v>
      </c>
      <c r="L1166" s="1077">
        <f t="shared" si="95"/>
        <v>0</v>
      </c>
      <c r="M1166" s="1091">
        <f>+H1166/'Parametros Generales'!$C$8</f>
        <v>0</v>
      </c>
      <c r="N1166" s="1098"/>
      <c r="O1166" s="1098"/>
      <c r="P1166" s="1098"/>
      <c r="Q1166" s="1098"/>
      <c r="R1166" s="1098">
        <f>+(M1166/'Parametros Generales'!$C$9)</f>
        <v>0</v>
      </c>
      <c r="S1166" s="395"/>
      <c r="T1166" s="395"/>
      <c r="U1166" s="395"/>
      <c r="V1166" s="396"/>
      <c r="W1166" s="376">
        <f>+R1166*'Componentes T.H.'!$Q$9*'Parametros Generales'!$C$6</f>
        <v>0</v>
      </c>
      <c r="X1166" s="376">
        <f>(+VLOOKUP(C1166,'Transporte y Viaticos'!$B$87:$L$120,2,0)*'Parametros Generales'!$C$7*R1166)*(2/3)</f>
        <v>0</v>
      </c>
      <c r="Y1166" s="417"/>
      <c r="Z1166" s="417"/>
      <c r="AA1166" s="417"/>
      <c r="AB1166" s="417">
        <f>+M1166*'Parametros Generales'!$C$6*'Parametros Generales'!$J$9</f>
        <v>0</v>
      </c>
      <c r="AC1166" s="417">
        <f>+H1166*'Parametros Generales'!$J$10*'Parametros Generales'!$C$6*'Parametros Generales'!$C$11</f>
        <v>0</v>
      </c>
      <c r="AD1166" s="417"/>
      <c r="AE1166" s="417"/>
      <c r="AF1166" s="417"/>
      <c r="AG1166" s="417"/>
      <c r="AH1166" s="417"/>
      <c r="AI1166" s="417"/>
      <c r="AJ1166" s="417"/>
      <c r="AK1166" s="436"/>
      <c r="AL1166" s="822"/>
    </row>
    <row r="1167" spans="1:38" s="33" customFormat="1" hidden="1" outlineLevel="1">
      <c r="A1167" s="1150"/>
      <c r="B1167" s="823">
        <f t="shared" si="96"/>
        <v>86</v>
      </c>
      <c r="C1167" s="373" t="str">
        <f t="shared" si="97"/>
        <v>PUTUMAYO</v>
      </c>
      <c r="D1167" s="374"/>
      <c r="E1167" s="1113"/>
      <c r="F1167" s="1104"/>
      <c r="G1167" s="375"/>
      <c r="H1167" s="1062"/>
      <c r="I1167" s="1057"/>
      <c r="J1167" s="1058"/>
      <c r="K1167" s="1070" t="str">
        <f t="shared" si="94"/>
        <v>Ok</v>
      </c>
      <c r="L1167" s="1077">
        <f t="shared" si="95"/>
        <v>0</v>
      </c>
      <c r="M1167" s="1091">
        <f>+H1167/'Parametros Generales'!$C$8</f>
        <v>0</v>
      </c>
      <c r="N1167" s="1098"/>
      <c r="O1167" s="1098"/>
      <c r="P1167" s="1098"/>
      <c r="Q1167" s="1098"/>
      <c r="R1167" s="1098">
        <f>+(M1167/'Parametros Generales'!$C$9)</f>
        <v>0</v>
      </c>
      <c r="S1167" s="395"/>
      <c r="T1167" s="395"/>
      <c r="U1167" s="395"/>
      <c r="V1167" s="396"/>
      <c r="W1167" s="376">
        <f>+R1167*'Componentes T.H.'!$Q$9*'Parametros Generales'!$C$6</f>
        <v>0</v>
      </c>
      <c r="X1167" s="376">
        <f>(+VLOOKUP(C1167,'Transporte y Viaticos'!$B$87:$L$120,2,0)*'Parametros Generales'!$C$7*R1167)*(2/3)</f>
        <v>0</v>
      </c>
      <c r="Y1167" s="417"/>
      <c r="Z1167" s="417"/>
      <c r="AA1167" s="417"/>
      <c r="AB1167" s="417">
        <f>+M1167*'Parametros Generales'!$C$6*'Parametros Generales'!$J$9</f>
        <v>0</v>
      </c>
      <c r="AC1167" s="417">
        <f>+H1167*'Parametros Generales'!$J$10*'Parametros Generales'!$C$6*'Parametros Generales'!$C$11</f>
        <v>0</v>
      </c>
      <c r="AD1167" s="417"/>
      <c r="AE1167" s="417"/>
      <c r="AF1167" s="417"/>
      <c r="AG1167" s="417"/>
      <c r="AH1167" s="417"/>
      <c r="AI1167" s="417"/>
      <c r="AJ1167" s="417"/>
      <c r="AK1167" s="436"/>
      <c r="AL1167" s="822"/>
    </row>
    <row r="1168" spans="1:38" s="33" customFormat="1" hidden="1" outlineLevel="1">
      <c r="A1168" s="1150"/>
      <c r="B1168" s="823">
        <f t="shared" si="96"/>
        <v>86</v>
      </c>
      <c r="C1168" s="373" t="str">
        <f t="shared" si="97"/>
        <v>PUTUMAYO</v>
      </c>
      <c r="D1168" s="374"/>
      <c r="E1168" s="1113"/>
      <c r="F1168" s="1104"/>
      <c r="G1168" s="375"/>
      <c r="H1168" s="1062"/>
      <c r="I1168" s="1057"/>
      <c r="J1168" s="1058"/>
      <c r="K1168" s="1070" t="str">
        <f t="shared" si="94"/>
        <v>Ok</v>
      </c>
      <c r="L1168" s="1077">
        <f t="shared" si="95"/>
        <v>0</v>
      </c>
      <c r="M1168" s="1091">
        <f>+H1168/'Parametros Generales'!$C$8</f>
        <v>0</v>
      </c>
      <c r="N1168" s="1098"/>
      <c r="O1168" s="1098"/>
      <c r="P1168" s="1098"/>
      <c r="Q1168" s="1098"/>
      <c r="R1168" s="1098">
        <f>+(M1168/'Parametros Generales'!$C$9)</f>
        <v>0</v>
      </c>
      <c r="S1168" s="395"/>
      <c r="T1168" s="395"/>
      <c r="U1168" s="395"/>
      <c r="V1168" s="396"/>
      <c r="W1168" s="376">
        <f>+R1168*'Componentes T.H.'!$Q$9*'Parametros Generales'!$C$6</f>
        <v>0</v>
      </c>
      <c r="X1168" s="376">
        <f>(+VLOOKUP(C1168,'Transporte y Viaticos'!$B$87:$L$120,2,0)*'Parametros Generales'!$C$7*R1168)*(2/3)</f>
        <v>0</v>
      </c>
      <c r="Y1168" s="417"/>
      <c r="Z1168" s="417"/>
      <c r="AA1168" s="417"/>
      <c r="AB1168" s="417">
        <f>+M1168*'Parametros Generales'!$C$6*'Parametros Generales'!$J$9</f>
        <v>0</v>
      </c>
      <c r="AC1168" s="417">
        <f>+H1168*'Parametros Generales'!$J$10*'Parametros Generales'!$C$6*'Parametros Generales'!$C$11</f>
        <v>0</v>
      </c>
      <c r="AD1168" s="417"/>
      <c r="AE1168" s="417"/>
      <c r="AF1168" s="417"/>
      <c r="AG1168" s="417"/>
      <c r="AH1168" s="417"/>
      <c r="AI1168" s="417"/>
      <c r="AJ1168" s="417"/>
      <c r="AK1168" s="436"/>
      <c r="AL1168" s="822"/>
    </row>
    <row r="1169" spans="1:38" s="392" customFormat="1" collapsed="1">
      <c r="A1169" s="1151">
        <v>29</v>
      </c>
      <c r="B1169" s="824">
        <v>88</v>
      </c>
      <c r="C1169" s="385" t="s">
        <v>2321</v>
      </c>
      <c r="D1169" s="386"/>
      <c r="E1169" s="1114" t="s">
        <v>729</v>
      </c>
      <c r="F1169" s="1105">
        <f>SUM(F1170:F1184)</f>
        <v>2</v>
      </c>
      <c r="G1169" s="388">
        <f>+SUM(G1170:G1171)</f>
        <v>1584</v>
      </c>
      <c r="H1169" s="512">
        <f>+SUM(H1170:H1184)</f>
        <v>750</v>
      </c>
      <c r="I1169" s="1057" t="s">
        <v>729</v>
      </c>
      <c r="J1169" s="1067">
        <v>750</v>
      </c>
      <c r="K1169" s="1069" t="str">
        <f t="shared" si="94"/>
        <v>Ok</v>
      </c>
      <c r="L1169" s="1077">
        <f t="shared" si="95"/>
        <v>0</v>
      </c>
      <c r="M1169" s="512">
        <f>+SUM(M1170:M1184)</f>
        <v>30</v>
      </c>
      <c r="N1169" s="1073">
        <f>+VLOOKUP(H1169,'Parametros Generales'!$B$14:$D$17,3,TRUE)</f>
        <v>0.4</v>
      </c>
      <c r="O1169" s="1073">
        <f>+VLOOKUP(H1169,'Parametros Generales'!$B$14:$D$17,3,TRUE)</f>
        <v>0.4</v>
      </c>
      <c r="P1169" s="1073">
        <f>+VLOOKUP(H1169,'Parametros Generales'!$B$14:$D$17,3,TRUE)</f>
        <v>0.4</v>
      </c>
      <c r="Q1169" s="1073">
        <f>+R1169/'Parametros Generales'!$C$10</f>
        <v>0.9375</v>
      </c>
      <c r="R1169" s="512">
        <f>+SUM(R1170:R1184)</f>
        <v>7.5</v>
      </c>
      <c r="S1169" s="390">
        <f>+VLOOKUP(S$1,'Componentes T.H.'!$B$4:$R$22,'Componentes T.H.'!$Q$1,0)*'Parametros Generales'!$C$6*'Cost x Depart'!N1169</f>
        <v>5862705.6550666681</v>
      </c>
      <c r="T1169" s="390">
        <f>+VLOOKUP(T$1,'Componentes T.H.'!$B$4:$R$22,'Componentes T.H.'!$Q$1,0)*'Parametros Generales'!$C$6*'Cost x Depart'!O1169</f>
        <v>4417526.2636000002</v>
      </c>
      <c r="U1169" s="390">
        <f>+VLOOKUP(U$1,'Componentes T.H.'!$B$4:$R$22,'Componentes T.H.'!$Q$1,0)*'Parametros Generales'!$C$6*'Cost x Depart'!P1169</f>
        <v>1956172.8</v>
      </c>
      <c r="V1169" s="389">
        <f>+VLOOKUP(V$1,'Componentes T.H.'!$B$4:$R$22,'Componentes T.H.'!$Q$1,0)*'Parametros Generales'!$C$6*'Cost x Depart'!Q1169</f>
        <v>9366607.0634374991</v>
      </c>
      <c r="W1169" s="512">
        <f>+SUM(W1170:W1184)</f>
        <v>37638803.032499999</v>
      </c>
      <c r="X1169" s="512">
        <f>+SUM(X1170:X1184)</f>
        <v>2189141.8358757086</v>
      </c>
      <c r="Y1169" s="391">
        <f>+VLOOKUP(C1170,'Transporte y Viaticos'!$B$87:$F$120,2,0)*((O1169/'Parametros Generales'!$J$14)+(Q1169/'Parametros Generales'!$J$15)+(R1169/'Parametros Generales'!$J$16))*'Parametros Generales'!$C$6</f>
        <v>111372.5909001767</v>
      </c>
      <c r="Z1169" s="391">
        <f>+(N1169+O1169+Q1169)*'Parametros Generales'!$C$6*'Parametros Generales'!$J$7</f>
        <v>341627.25</v>
      </c>
      <c r="AA1169" s="391">
        <f>+SUM(N1169:R1169)*'Parametros Generales'!$C$6*'Parametros Generales'!$J$8</f>
        <v>1729931.25</v>
      </c>
      <c r="AB1169" s="512">
        <f>+SUM(AB1170:AB1184)</f>
        <v>14607272.72727273</v>
      </c>
      <c r="AC1169" s="512">
        <f>+SUM(AC1170:AC1184)</f>
        <v>55269370.377756104</v>
      </c>
      <c r="AD1169" s="391">
        <f>+'Parametros Generales'!$J$11*SUM(N1169:R1169)</f>
        <v>324205.5</v>
      </c>
      <c r="AE1169" s="436">
        <f>+SUM(S1169:AD1169)</f>
        <v>133814736.34640887</v>
      </c>
      <c r="AF1169" s="391">
        <f>+AE1169*(SUM('Res de Costos Pais'!G117:G117))</f>
        <v>9166309.4397290088</v>
      </c>
      <c r="AG1169" s="391">
        <f>+AE1169+AF1169</f>
        <v>142981045.78613788</v>
      </c>
      <c r="AH1169" s="391">
        <f>+AG1169*SUM('Res de Costos Pais'!$G$123:$G$124)</f>
        <v>1381196.9022940919</v>
      </c>
      <c r="AI1169" s="391">
        <f>+(AG1169+AH1169)*'Res de Costos Pais'!$G$136</f>
        <v>389778.05525876634</v>
      </c>
      <c r="AJ1169" s="391">
        <f>+(AG1169+AH1169+AI1169)*'Res de Costos Pais'!$G$140</f>
        <v>579008.08297476301</v>
      </c>
      <c r="AK1169" s="391">
        <f>+AG1169+AH1169+AI1169+AJ1169</f>
        <v>145331028.82666552</v>
      </c>
      <c r="AL1169" s="820">
        <f>IF(ISERROR((+(AK1169/H1169)/'Parametros Generales'!$C$6)),0,(+(AK1169/H1169)/'Parametros Generales'!$C$6))</f>
        <v>38754.941020444137</v>
      </c>
    </row>
    <row r="1170" spans="1:38" s="33" customFormat="1" hidden="1" outlineLevel="1">
      <c r="A1170" s="1150"/>
      <c r="B1170" s="819">
        <v>88</v>
      </c>
      <c r="C1170" s="377" t="s">
        <v>2321</v>
      </c>
      <c r="D1170" s="378">
        <f>+VLOOKUP(E1170,Codigos!$A$1:$B$1123,2,0)</f>
        <v>88564</v>
      </c>
      <c r="E1170" s="1110" t="s">
        <v>2301</v>
      </c>
      <c r="F1170" s="1102">
        <v>1</v>
      </c>
      <c r="G1170" s="379">
        <v>396</v>
      </c>
      <c r="H1170" s="1060">
        <f>CEILING(G1170-396,'Parametros Generales'!$C$8)</f>
        <v>0</v>
      </c>
      <c r="I1170" s="1057" t="s">
        <v>730</v>
      </c>
      <c r="J1170" s="1058">
        <v>0</v>
      </c>
      <c r="K1170" s="1070" t="str">
        <f t="shared" si="94"/>
        <v>Ok</v>
      </c>
      <c r="L1170" s="1077">
        <f t="shared" si="95"/>
        <v>0</v>
      </c>
      <c r="M1170" s="1089">
        <f>+H1170/'Parametros Generales'!$C$8</f>
        <v>0</v>
      </c>
      <c r="N1170" s="1096"/>
      <c r="O1170" s="1096"/>
      <c r="P1170" s="1096"/>
      <c r="Q1170" s="1096"/>
      <c r="R1170" s="1096">
        <f>+(M1170/'Parametros Generales'!$C$9)</f>
        <v>0</v>
      </c>
      <c r="S1170" s="393"/>
      <c r="T1170" s="393"/>
      <c r="U1170" s="393"/>
      <c r="V1170" s="394"/>
      <c r="W1170" s="380">
        <f>+R1170*'Componentes T.H.'!$Q$9*'Parametros Generales'!$C$6</f>
        <v>0</v>
      </c>
      <c r="X1170" s="380">
        <f>(+VLOOKUP(C1170,'Transporte y Viaticos'!$B$87:$L$120,2,0)*'Parametros Generales'!$C$7*R1170)*(2/3)</f>
        <v>0</v>
      </c>
      <c r="Y1170" s="417"/>
      <c r="Z1170" s="417"/>
      <c r="AA1170" s="417"/>
      <c r="AB1170" s="417">
        <f>+M1170*'Parametros Generales'!$C$6*'Parametros Generales'!$J$9</f>
        <v>0</v>
      </c>
      <c r="AC1170" s="417">
        <f>+H1170*'Parametros Generales'!$J$10*'Parametros Generales'!$C$6*'Parametros Generales'!$C$11</f>
        <v>0</v>
      </c>
      <c r="AD1170" s="417"/>
      <c r="AE1170" s="417"/>
      <c r="AF1170" s="417"/>
      <c r="AG1170" s="417"/>
      <c r="AH1170" s="417"/>
      <c r="AI1170" s="417"/>
      <c r="AJ1170" s="417"/>
      <c r="AK1170" s="436"/>
      <c r="AL1170" s="822"/>
    </row>
    <row r="1171" spans="1:38" s="33" customFormat="1" hidden="1" outlineLevel="1">
      <c r="A1171" s="1150"/>
      <c r="B1171" s="823">
        <v>88</v>
      </c>
      <c r="C1171" s="373" t="s">
        <v>2321</v>
      </c>
      <c r="D1171" s="374">
        <f>+VLOOKUP(E1171,Codigos!$A$1:$B$1123,2,0)</f>
        <v>88001</v>
      </c>
      <c r="E1171" s="1113" t="s">
        <v>2408</v>
      </c>
      <c r="F1171" s="1104">
        <v>1</v>
      </c>
      <c r="G1171" s="375">
        <v>1188</v>
      </c>
      <c r="H1171" s="1062">
        <f>CEILING((G1171-450),'Parametros Generales'!$C$8)</f>
        <v>750</v>
      </c>
      <c r="I1171" s="1057" t="s">
        <v>731</v>
      </c>
      <c r="J1171" s="1058">
        <v>750</v>
      </c>
      <c r="K1171" s="1070" t="str">
        <f t="shared" si="94"/>
        <v>Ok</v>
      </c>
      <c r="L1171" s="1077">
        <f t="shared" si="95"/>
        <v>0</v>
      </c>
      <c r="M1171" s="1091">
        <f>+H1171/'Parametros Generales'!$C$8</f>
        <v>30</v>
      </c>
      <c r="N1171" s="1098"/>
      <c r="O1171" s="1098"/>
      <c r="P1171" s="1098"/>
      <c r="Q1171" s="1098"/>
      <c r="R1171" s="1098">
        <f>+(M1171/'Parametros Generales'!$C$9)</f>
        <v>7.5</v>
      </c>
      <c r="S1171" s="395"/>
      <c r="T1171" s="395"/>
      <c r="U1171" s="395"/>
      <c r="V1171" s="396"/>
      <c r="W1171" s="376">
        <f>+R1171*'Componentes T.H.'!$Q$9*'Parametros Generales'!$C$6</f>
        <v>37638803.032499999</v>
      </c>
      <c r="X1171" s="376">
        <f>(+VLOOKUP(C1171,'Transporte y Viaticos'!$B$87:$L$120,2,0)*'Parametros Generales'!$C$7*R1171)*(2/3)</f>
        <v>2189141.8358757086</v>
      </c>
      <c r="Y1171" s="417"/>
      <c r="Z1171" s="417"/>
      <c r="AA1171" s="417"/>
      <c r="AB1171" s="417">
        <f>+M1171*'Parametros Generales'!$C$6*'Parametros Generales'!$J$9</f>
        <v>14607272.72727273</v>
      </c>
      <c r="AC1171" s="417">
        <f>+H1171*'Parametros Generales'!$J$10*'Parametros Generales'!$C$6*'Parametros Generales'!$C$11</f>
        <v>55269370.377756104</v>
      </c>
      <c r="AD1171" s="417"/>
      <c r="AE1171" s="417"/>
      <c r="AF1171" s="417"/>
      <c r="AG1171" s="417"/>
      <c r="AH1171" s="417"/>
      <c r="AI1171" s="417"/>
      <c r="AJ1171" s="417"/>
      <c r="AK1171" s="436"/>
      <c r="AL1171" s="822"/>
    </row>
    <row r="1172" spans="1:38" s="33" customFormat="1" hidden="1" outlineLevel="1">
      <c r="A1172" s="1150"/>
      <c r="B1172" s="823">
        <f t="shared" ref="B1172:B1184" si="98">+B1171</f>
        <v>88</v>
      </c>
      <c r="C1172" s="373" t="str">
        <f t="shared" ref="C1172:C1184" si="99">+C1171</f>
        <v>SAN ANDRÉS</v>
      </c>
      <c r="D1172" s="374"/>
      <c r="E1172" s="1113"/>
      <c r="F1172" s="1104"/>
      <c r="G1172" s="375"/>
      <c r="H1172" s="1062"/>
      <c r="I1172" s="1057"/>
      <c r="J1172" s="1058"/>
      <c r="K1172" s="1070" t="str">
        <f t="shared" si="94"/>
        <v>Ok</v>
      </c>
      <c r="L1172" s="1076">
        <f t="shared" si="95"/>
        <v>0</v>
      </c>
      <c r="M1172" s="1091">
        <f>+H1172/'Parametros Generales'!$C$8</f>
        <v>0</v>
      </c>
      <c r="N1172" s="1098"/>
      <c r="O1172" s="1098"/>
      <c r="P1172" s="1098"/>
      <c r="Q1172" s="1098"/>
      <c r="R1172" s="1098">
        <f>+(M1172/'Parametros Generales'!$C$9)</f>
        <v>0</v>
      </c>
      <c r="S1172" s="395"/>
      <c r="T1172" s="395"/>
      <c r="U1172" s="395"/>
      <c r="V1172" s="396"/>
      <c r="W1172" s="376">
        <f>+R1172*'Componentes T.H.'!$Q$9*'Parametros Generales'!$C$6</f>
        <v>0</v>
      </c>
      <c r="X1172" s="376">
        <f>(+VLOOKUP(C1172,'Transporte y Viaticos'!$B$87:$L$120,2,0)*'Parametros Generales'!$C$7*R1172)*(2/3)</f>
        <v>0</v>
      </c>
      <c r="Y1172" s="417"/>
      <c r="Z1172" s="417"/>
      <c r="AA1172" s="417"/>
      <c r="AB1172" s="417">
        <f>+M1172*'Parametros Generales'!$C$6*'Parametros Generales'!$J$9</f>
        <v>0</v>
      </c>
      <c r="AC1172" s="417">
        <f>+H1172*'Parametros Generales'!$J$10*'Parametros Generales'!$C$6*'Parametros Generales'!$C$11</f>
        <v>0</v>
      </c>
      <c r="AD1172" s="417"/>
      <c r="AE1172" s="417"/>
      <c r="AF1172" s="417"/>
      <c r="AG1172" s="417"/>
      <c r="AH1172" s="417"/>
      <c r="AI1172" s="417"/>
      <c r="AJ1172" s="417"/>
      <c r="AK1172" s="436"/>
      <c r="AL1172" s="822"/>
    </row>
    <row r="1173" spans="1:38" s="33" customFormat="1" hidden="1" outlineLevel="1">
      <c r="A1173" s="1150"/>
      <c r="B1173" s="823">
        <f t="shared" si="98"/>
        <v>88</v>
      </c>
      <c r="C1173" s="373" t="str">
        <f t="shared" si="99"/>
        <v>SAN ANDRÉS</v>
      </c>
      <c r="D1173" s="374"/>
      <c r="E1173" s="1113"/>
      <c r="F1173" s="1104"/>
      <c r="G1173" s="375"/>
      <c r="H1173" s="1062"/>
      <c r="I1173" s="1057"/>
      <c r="J1173" s="1058"/>
      <c r="K1173" s="1070" t="str">
        <f t="shared" si="94"/>
        <v>Ok</v>
      </c>
      <c r="L1173" s="1077">
        <f t="shared" si="95"/>
        <v>0</v>
      </c>
      <c r="M1173" s="1091">
        <f>+H1173/'Parametros Generales'!$C$8</f>
        <v>0</v>
      </c>
      <c r="N1173" s="1098"/>
      <c r="O1173" s="1098"/>
      <c r="P1173" s="1098"/>
      <c r="Q1173" s="1098"/>
      <c r="R1173" s="1098">
        <f>+(M1173/'Parametros Generales'!$C$9)</f>
        <v>0</v>
      </c>
      <c r="S1173" s="395"/>
      <c r="T1173" s="395"/>
      <c r="U1173" s="395"/>
      <c r="V1173" s="396"/>
      <c r="W1173" s="376">
        <f>+R1173*'Componentes T.H.'!$Q$9*'Parametros Generales'!$C$6</f>
        <v>0</v>
      </c>
      <c r="X1173" s="376">
        <f>(+VLOOKUP(C1173,'Transporte y Viaticos'!$B$87:$L$120,2,0)*'Parametros Generales'!$C$7*R1173)*(2/3)</f>
        <v>0</v>
      </c>
      <c r="Y1173" s="417"/>
      <c r="Z1173" s="417"/>
      <c r="AA1173" s="417"/>
      <c r="AB1173" s="417">
        <f>+M1173*'Parametros Generales'!$C$6*'Parametros Generales'!$J$9</f>
        <v>0</v>
      </c>
      <c r="AC1173" s="417">
        <f>+H1173*'Parametros Generales'!$J$10*'Parametros Generales'!$C$6*'Parametros Generales'!$C$11</f>
        <v>0</v>
      </c>
      <c r="AD1173" s="417"/>
      <c r="AE1173" s="417"/>
      <c r="AF1173" s="417"/>
      <c r="AG1173" s="417"/>
      <c r="AH1173" s="417"/>
      <c r="AI1173" s="417"/>
      <c r="AJ1173" s="417"/>
      <c r="AK1173" s="436"/>
      <c r="AL1173" s="822"/>
    </row>
    <row r="1174" spans="1:38" s="33" customFormat="1" hidden="1" outlineLevel="1">
      <c r="A1174" s="1150"/>
      <c r="B1174" s="823">
        <f t="shared" si="98"/>
        <v>88</v>
      </c>
      <c r="C1174" s="373" t="str">
        <f t="shared" si="99"/>
        <v>SAN ANDRÉS</v>
      </c>
      <c r="D1174" s="374"/>
      <c r="E1174" s="1113"/>
      <c r="F1174" s="1104"/>
      <c r="G1174" s="375"/>
      <c r="H1174" s="1062"/>
      <c r="I1174" s="1057"/>
      <c r="J1174" s="1058"/>
      <c r="K1174" s="1070" t="str">
        <f t="shared" si="94"/>
        <v>Ok</v>
      </c>
      <c r="L1174" s="1077">
        <f t="shared" si="95"/>
        <v>0</v>
      </c>
      <c r="M1174" s="1091">
        <f>+H1174/'Parametros Generales'!$C$8</f>
        <v>0</v>
      </c>
      <c r="N1174" s="1098"/>
      <c r="O1174" s="1098"/>
      <c r="P1174" s="1098"/>
      <c r="Q1174" s="1098"/>
      <c r="R1174" s="1098">
        <f>+(M1174/'Parametros Generales'!$C$9)</f>
        <v>0</v>
      </c>
      <c r="S1174" s="395"/>
      <c r="T1174" s="395"/>
      <c r="U1174" s="395"/>
      <c r="V1174" s="396"/>
      <c r="W1174" s="376">
        <f>+R1174*'Componentes T.H.'!$Q$9*'Parametros Generales'!$C$6</f>
        <v>0</v>
      </c>
      <c r="X1174" s="376">
        <f>(+VLOOKUP(C1174,'Transporte y Viaticos'!$B$87:$L$120,2,0)*'Parametros Generales'!$C$7*R1174)*(2/3)</f>
        <v>0</v>
      </c>
      <c r="Y1174" s="417"/>
      <c r="Z1174" s="417"/>
      <c r="AA1174" s="417"/>
      <c r="AB1174" s="417">
        <f>+M1174*'Parametros Generales'!$C$6*'Parametros Generales'!$J$9</f>
        <v>0</v>
      </c>
      <c r="AC1174" s="417">
        <f>+H1174*'Parametros Generales'!$J$10*'Parametros Generales'!$C$6*'Parametros Generales'!$C$11</f>
        <v>0</v>
      </c>
      <c r="AD1174" s="417"/>
      <c r="AE1174" s="417"/>
      <c r="AF1174" s="417"/>
      <c r="AG1174" s="417"/>
      <c r="AH1174" s="417"/>
      <c r="AI1174" s="417"/>
      <c r="AJ1174" s="417"/>
      <c r="AK1174" s="436"/>
      <c r="AL1174" s="822"/>
    </row>
    <row r="1175" spans="1:38" s="33" customFormat="1" hidden="1" outlineLevel="1">
      <c r="A1175" s="1150"/>
      <c r="B1175" s="823">
        <f t="shared" si="98"/>
        <v>88</v>
      </c>
      <c r="C1175" s="373" t="str">
        <f t="shared" si="99"/>
        <v>SAN ANDRÉS</v>
      </c>
      <c r="D1175" s="374"/>
      <c r="E1175" s="1113"/>
      <c r="F1175" s="1104"/>
      <c r="G1175" s="375"/>
      <c r="H1175" s="1062"/>
      <c r="I1175" s="1057"/>
      <c r="J1175" s="1058"/>
      <c r="K1175" s="1070" t="str">
        <f t="shared" si="94"/>
        <v>Ok</v>
      </c>
      <c r="L1175" s="1077">
        <f t="shared" si="95"/>
        <v>0</v>
      </c>
      <c r="M1175" s="1091">
        <f>+H1175/'Parametros Generales'!$C$8</f>
        <v>0</v>
      </c>
      <c r="N1175" s="1098"/>
      <c r="O1175" s="1098"/>
      <c r="P1175" s="1098"/>
      <c r="Q1175" s="1098"/>
      <c r="R1175" s="1098">
        <f>+(M1175/'Parametros Generales'!$C$9)</f>
        <v>0</v>
      </c>
      <c r="S1175" s="395"/>
      <c r="T1175" s="395"/>
      <c r="U1175" s="395"/>
      <c r="V1175" s="396"/>
      <c r="W1175" s="376">
        <f>+R1175*'Componentes T.H.'!$Q$9*'Parametros Generales'!$C$6</f>
        <v>0</v>
      </c>
      <c r="X1175" s="376">
        <f>(+VLOOKUP(C1175,'Transporte y Viaticos'!$B$87:$L$120,2,0)*'Parametros Generales'!$C$7*R1175)*(2/3)</f>
        <v>0</v>
      </c>
      <c r="Y1175" s="417"/>
      <c r="Z1175" s="417"/>
      <c r="AA1175" s="417"/>
      <c r="AB1175" s="417">
        <f>+M1175*'Parametros Generales'!$C$6*'Parametros Generales'!$J$9</f>
        <v>0</v>
      </c>
      <c r="AC1175" s="417">
        <f>+H1175*'Parametros Generales'!$J$10*'Parametros Generales'!$C$6*'Parametros Generales'!$C$11</f>
        <v>0</v>
      </c>
      <c r="AD1175" s="417"/>
      <c r="AE1175" s="417"/>
      <c r="AF1175" s="417"/>
      <c r="AG1175" s="417"/>
      <c r="AH1175" s="417"/>
      <c r="AI1175" s="417"/>
      <c r="AJ1175" s="417"/>
      <c r="AK1175" s="436"/>
      <c r="AL1175" s="822"/>
    </row>
    <row r="1176" spans="1:38" s="33" customFormat="1" hidden="1" outlineLevel="1">
      <c r="A1176" s="1150"/>
      <c r="B1176" s="823">
        <f t="shared" si="98"/>
        <v>88</v>
      </c>
      <c r="C1176" s="373" t="str">
        <f t="shared" si="99"/>
        <v>SAN ANDRÉS</v>
      </c>
      <c r="D1176" s="374"/>
      <c r="E1176" s="1113"/>
      <c r="F1176" s="1104"/>
      <c r="G1176" s="375"/>
      <c r="H1176" s="1062"/>
      <c r="I1176" s="1057"/>
      <c r="J1176" s="1058"/>
      <c r="K1176" s="1070" t="str">
        <f t="shared" si="94"/>
        <v>Ok</v>
      </c>
      <c r="L1176" s="1077">
        <f t="shared" si="95"/>
        <v>0</v>
      </c>
      <c r="M1176" s="1091">
        <f>+H1176/'Parametros Generales'!$C$8</f>
        <v>0</v>
      </c>
      <c r="N1176" s="1098"/>
      <c r="O1176" s="1098"/>
      <c r="P1176" s="1098"/>
      <c r="Q1176" s="1098"/>
      <c r="R1176" s="1098">
        <f>+(M1176/'Parametros Generales'!$C$9)</f>
        <v>0</v>
      </c>
      <c r="S1176" s="395"/>
      <c r="T1176" s="395"/>
      <c r="U1176" s="395"/>
      <c r="V1176" s="396"/>
      <c r="W1176" s="376">
        <f>+R1176*'Componentes T.H.'!$Q$9*'Parametros Generales'!$C$6</f>
        <v>0</v>
      </c>
      <c r="X1176" s="376">
        <f>(+VLOOKUP(C1176,'Transporte y Viaticos'!$B$87:$L$120,2,0)*'Parametros Generales'!$C$7*R1176)*(2/3)</f>
        <v>0</v>
      </c>
      <c r="Y1176" s="417"/>
      <c r="Z1176" s="417"/>
      <c r="AA1176" s="417"/>
      <c r="AB1176" s="417">
        <f>+M1176*'Parametros Generales'!$C$6*'Parametros Generales'!$J$9</f>
        <v>0</v>
      </c>
      <c r="AC1176" s="417">
        <f>+H1176*'Parametros Generales'!$J$10*'Parametros Generales'!$C$6*'Parametros Generales'!$C$11</f>
        <v>0</v>
      </c>
      <c r="AD1176" s="417"/>
      <c r="AE1176" s="417"/>
      <c r="AF1176" s="417"/>
      <c r="AG1176" s="417"/>
      <c r="AH1176" s="417"/>
      <c r="AI1176" s="417"/>
      <c r="AJ1176" s="417"/>
      <c r="AK1176" s="436"/>
      <c r="AL1176" s="822"/>
    </row>
    <row r="1177" spans="1:38" s="33" customFormat="1" hidden="1" outlineLevel="1">
      <c r="A1177" s="1150"/>
      <c r="B1177" s="823">
        <f t="shared" si="98"/>
        <v>88</v>
      </c>
      <c r="C1177" s="373" t="str">
        <f t="shared" si="99"/>
        <v>SAN ANDRÉS</v>
      </c>
      <c r="D1177" s="374"/>
      <c r="E1177" s="1113"/>
      <c r="F1177" s="1104"/>
      <c r="G1177" s="375"/>
      <c r="H1177" s="1062"/>
      <c r="I1177" s="1057"/>
      <c r="J1177" s="1058"/>
      <c r="K1177" s="1070" t="str">
        <f t="shared" si="94"/>
        <v>Ok</v>
      </c>
      <c r="L1177" s="1077">
        <f t="shared" si="95"/>
        <v>0</v>
      </c>
      <c r="M1177" s="1091">
        <f>+H1177/'Parametros Generales'!$C$8</f>
        <v>0</v>
      </c>
      <c r="N1177" s="1098"/>
      <c r="O1177" s="1098"/>
      <c r="P1177" s="1098"/>
      <c r="Q1177" s="1098"/>
      <c r="R1177" s="1098">
        <f>+(M1177/'Parametros Generales'!$C$9)</f>
        <v>0</v>
      </c>
      <c r="S1177" s="395"/>
      <c r="T1177" s="395"/>
      <c r="U1177" s="395"/>
      <c r="V1177" s="396"/>
      <c r="W1177" s="376">
        <f>+R1177*'Componentes T.H.'!$Q$9*'Parametros Generales'!$C$6</f>
        <v>0</v>
      </c>
      <c r="X1177" s="376">
        <f>(+VLOOKUP(C1177,'Transporte y Viaticos'!$B$87:$L$120,2,0)*'Parametros Generales'!$C$7*R1177)*(2/3)</f>
        <v>0</v>
      </c>
      <c r="Y1177" s="417"/>
      <c r="Z1177" s="417"/>
      <c r="AA1177" s="417"/>
      <c r="AB1177" s="417">
        <f>+M1177*'Parametros Generales'!$C$6*'Parametros Generales'!$J$9</f>
        <v>0</v>
      </c>
      <c r="AC1177" s="417">
        <f>+H1177*'Parametros Generales'!$J$10*'Parametros Generales'!$C$6*'Parametros Generales'!$C$11</f>
        <v>0</v>
      </c>
      <c r="AD1177" s="417"/>
      <c r="AE1177" s="417"/>
      <c r="AF1177" s="417"/>
      <c r="AG1177" s="417"/>
      <c r="AH1177" s="417"/>
      <c r="AI1177" s="417"/>
      <c r="AJ1177" s="417"/>
      <c r="AK1177" s="436"/>
      <c r="AL1177" s="822"/>
    </row>
    <row r="1178" spans="1:38" s="33" customFormat="1" hidden="1" outlineLevel="1">
      <c r="A1178" s="1150"/>
      <c r="B1178" s="823">
        <f t="shared" si="98"/>
        <v>88</v>
      </c>
      <c r="C1178" s="373" t="str">
        <f t="shared" si="99"/>
        <v>SAN ANDRÉS</v>
      </c>
      <c r="D1178" s="374"/>
      <c r="E1178" s="1113"/>
      <c r="F1178" s="1104"/>
      <c r="G1178" s="375"/>
      <c r="H1178" s="1062"/>
      <c r="I1178" s="1057"/>
      <c r="J1178" s="1058"/>
      <c r="K1178" s="1070" t="str">
        <f t="shared" si="94"/>
        <v>Ok</v>
      </c>
      <c r="L1178" s="1077">
        <f t="shared" si="95"/>
        <v>0</v>
      </c>
      <c r="M1178" s="1091">
        <f>+H1178/'Parametros Generales'!$C$8</f>
        <v>0</v>
      </c>
      <c r="N1178" s="1098"/>
      <c r="O1178" s="1098"/>
      <c r="P1178" s="1098"/>
      <c r="Q1178" s="1098"/>
      <c r="R1178" s="1098">
        <f>+(M1178/'Parametros Generales'!$C$9)</f>
        <v>0</v>
      </c>
      <c r="S1178" s="395"/>
      <c r="T1178" s="395"/>
      <c r="U1178" s="395"/>
      <c r="V1178" s="396"/>
      <c r="W1178" s="376">
        <f>+R1178*'Componentes T.H.'!$Q$9*'Parametros Generales'!$C$6</f>
        <v>0</v>
      </c>
      <c r="X1178" s="376">
        <f>(+VLOOKUP(C1178,'Transporte y Viaticos'!$B$87:$L$120,2,0)*'Parametros Generales'!$C$7*R1178)*(2/3)</f>
        <v>0</v>
      </c>
      <c r="Y1178" s="417"/>
      <c r="Z1178" s="417"/>
      <c r="AA1178" s="417"/>
      <c r="AB1178" s="417">
        <f>+M1178*'Parametros Generales'!$C$6*'Parametros Generales'!$J$9</f>
        <v>0</v>
      </c>
      <c r="AC1178" s="417">
        <f>+H1178*'Parametros Generales'!$J$10*'Parametros Generales'!$C$6*'Parametros Generales'!$C$11</f>
        <v>0</v>
      </c>
      <c r="AD1178" s="417"/>
      <c r="AE1178" s="417"/>
      <c r="AF1178" s="417"/>
      <c r="AG1178" s="417"/>
      <c r="AH1178" s="417"/>
      <c r="AI1178" s="417"/>
      <c r="AJ1178" s="417"/>
      <c r="AK1178" s="436"/>
      <c r="AL1178" s="822"/>
    </row>
    <row r="1179" spans="1:38" s="33" customFormat="1" hidden="1" outlineLevel="1">
      <c r="A1179" s="1150"/>
      <c r="B1179" s="823">
        <f t="shared" si="98"/>
        <v>88</v>
      </c>
      <c r="C1179" s="373" t="str">
        <f t="shared" si="99"/>
        <v>SAN ANDRÉS</v>
      </c>
      <c r="D1179" s="374"/>
      <c r="E1179" s="1113"/>
      <c r="F1179" s="1104"/>
      <c r="G1179" s="375"/>
      <c r="H1179" s="1062"/>
      <c r="I1179" s="1057"/>
      <c r="J1179" s="1058"/>
      <c r="K1179" s="1070" t="str">
        <f t="shared" si="94"/>
        <v>Ok</v>
      </c>
      <c r="L1179" s="1077">
        <f t="shared" si="95"/>
        <v>0</v>
      </c>
      <c r="M1179" s="1091">
        <f>+H1179/'Parametros Generales'!$C$8</f>
        <v>0</v>
      </c>
      <c r="N1179" s="1098"/>
      <c r="O1179" s="1098"/>
      <c r="P1179" s="1098"/>
      <c r="Q1179" s="1098"/>
      <c r="R1179" s="1098">
        <f>+(M1179/'Parametros Generales'!$C$9)</f>
        <v>0</v>
      </c>
      <c r="S1179" s="395"/>
      <c r="T1179" s="395"/>
      <c r="U1179" s="395"/>
      <c r="V1179" s="396"/>
      <c r="W1179" s="376">
        <f>+R1179*'Componentes T.H.'!$Q$9*'Parametros Generales'!$C$6</f>
        <v>0</v>
      </c>
      <c r="X1179" s="376">
        <f>(+VLOOKUP(C1179,'Transporte y Viaticos'!$B$87:$L$120,2,0)*'Parametros Generales'!$C$7*R1179)*(2/3)</f>
        <v>0</v>
      </c>
      <c r="Y1179" s="417"/>
      <c r="Z1179" s="417"/>
      <c r="AA1179" s="417"/>
      <c r="AB1179" s="417">
        <f>+M1179*'Parametros Generales'!$C$6*'Parametros Generales'!$J$9</f>
        <v>0</v>
      </c>
      <c r="AC1179" s="417">
        <f>+H1179*'Parametros Generales'!$J$10*'Parametros Generales'!$C$6*'Parametros Generales'!$C$11</f>
        <v>0</v>
      </c>
      <c r="AD1179" s="417"/>
      <c r="AE1179" s="417"/>
      <c r="AF1179" s="417"/>
      <c r="AG1179" s="417"/>
      <c r="AH1179" s="417"/>
      <c r="AI1179" s="417"/>
      <c r="AJ1179" s="417"/>
      <c r="AK1179" s="436"/>
      <c r="AL1179" s="822"/>
    </row>
    <row r="1180" spans="1:38" s="33" customFormat="1" hidden="1" outlineLevel="1">
      <c r="A1180" s="1150"/>
      <c r="B1180" s="823">
        <f t="shared" si="98"/>
        <v>88</v>
      </c>
      <c r="C1180" s="373" t="str">
        <f t="shared" si="99"/>
        <v>SAN ANDRÉS</v>
      </c>
      <c r="D1180" s="374"/>
      <c r="E1180" s="1113"/>
      <c r="F1180" s="1104"/>
      <c r="G1180" s="375"/>
      <c r="H1180" s="1062"/>
      <c r="I1180" s="1057"/>
      <c r="J1180" s="1058"/>
      <c r="K1180" s="1070" t="str">
        <f t="shared" si="94"/>
        <v>Ok</v>
      </c>
      <c r="L1180" s="1077">
        <f t="shared" si="95"/>
        <v>0</v>
      </c>
      <c r="M1180" s="1091">
        <f>+H1180/'Parametros Generales'!$C$8</f>
        <v>0</v>
      </c>
      <c r="N1180" s="1098"/>
      <c r="O1180" s="1098"/>
      <c r="P1180" s="1098"/>
      <c r="Q1180" s="1098"/>
      <c r="R1180" s="1098">
        <f>+(M1180/'Parametros Generales'!$C$9)</f>
        <v>0</v>
      </c>
      <c r="S1180" s="395"/>
      <c r="T1180" s="395"/>
      <c r="U1180" s="395"/>
      <c r="V1180" s="396"/>
      <c r="W1180" s="376">
        <f>+R1180*'Componentes T.H.'!$Q$9*'Parametros Generales'!$C$6</f>
        <v>0</v>
      </c>
      <c r="X1180" s="376">
        <f>(+VLOOKUP(C1180,'Transporte y Viaticos'!$B$87:$L$120,2,0)*'Parametros Generales'!$C$7*R1180)*(2/3)</f>
        <v>0</v>
      </c>
      <c r="Y1180" s="417"/>
      <c r="Z1180" s="417"/>
      <c r="AA1180" s="417"/>
      <c r="AB1180" s="417">
        <f>+M1180*'Parametros Generales'!$C$6*'Parametros Generales'!$J$9</f>
        <v>0</v>
      </c>
      <c r="AC1180" s="417">
        <f>+H1180*'Parametros Generales'!$J$10*'Parametros Generales'!$C$6*'Parametros Generales'!$C$11</f>
        <v>0</v>
      </c>
      <c r="AD1180" s="417"/>
      <c r="AE1180" s="417"/>
      <c r="AF1180" s="417"/>
      <c r="AG1180" s="417"/>
      <c r="AH1180" s="417"/>
      <c r="AI1180" s="417"/>
      <c r="AJ1180" s="417"/>
      <c r="AK1180" s="436"/>
      <c r="AL1180" s="822"/>
    </row>
    <row r="1181" spans="1:38" s="33" customFormat="1" hidden="1" outlineLevel="1">
      <c r="A1181" s="1150"/>
      <c r="B1181" s="823">
        <f t="shared" si="98"/>
        <v>88</v>
      </c>
      <c r="C1181" s="373" t="str">
        <f t="shared" si="99"/>
        <v>SAN ANDRÉS</v>
      </c>
      <c r="D1181" s="374"/>
      <c r="E1181" s="1113"/>
      <c r="F1181" s="1104"/>
      <c r="G1181" s="375"/>
      <c r="H1181" s="1062"/>
      <c r="I1181" s="1057"/>
      <c r="J1181" s="1058"/>
      <c r="K1181" s="1070" t="str">
        <f t="shared" si="94"/>
        <v>Ok</v>
      </c>
      <c r="L1181" s="1077">
        <f t="shared" si="95"/>
        <v>0</v>
      </c>
      <c r="M1181" s="1091">
        <f>+H1181/'Parametros Generales'!$C$8</f>
        <v>0</v>
      </c>
      <c r="N1181" s="1098"/>
      <c r="O1181" s="1098"/>
      <c r="P1181" s="1098"/>
      <c r="Q1181" s="1098"/>
      <c r="R1181" s="1098">
        <f>+(M1181/'Parametros Generales'!$C$9)</f>
        <v>0</v>
      </c>
      <c r="S1181" s="395"/>
      <c r="T1181" s="395"/>
      <c r="U1181" s="395"/>
      <c r="V1181" s="396"/>
      <c r="W1181" s="376">
        <f>+R1181*'Componentes T.H.'!$Q$9*'Parametros Generales'!$C$6</f>
        <v>0</v>
      </c>
      <c r="X1181" s="376">
        <f>(+VLOOKUP(C1181,'Transporte y Viaticos'!$B$87:$L$120,2,0)*'Parametros Generales'!$C$7*R1181)*(2/3)</f>
        <v>0</v>
      </c>
      <c r="Y1181" s="417"/>
      <c r="Z1181" s="417"/>
      <c r="AA1181" s="417"/>
      <c r="AB1181" s="417">
        <f>+M1181*'Parametros Generales'!$C$6*'Parametros Generales'!$J$9</f>
        <v>0</v>
      </c>
      <c r="AC1181" s="417">
        <f>+H1181*'Parametros Generales'!$J$10*'Parametros Generales'!$C$6*'Parametros Generales'!$C$11</f>
        <v>0</v>
      </c>
      <c r="AD1181" s="417"/>
      <c r="AE1181" s="417"/>
      <c r="AF1181" s="417"/>
      <c r="AG1181" s="417"/>
      <c r="AH1181" s="417"/>
      <c r="AI1181" s="417"/>
      <c r="AJ1181" s="417"/>
      <c r="AK1181" s="436"/>
      <c r="AL1181" s="822"/>
    </row>
    <row r="1182" spans="1:38" s="33" customFormat="1" hidden="1" outlineLevel="1">
      <c r="A1182" s="1150"/>
      <c r="B1182" s="823">
        <f t="shared" si="98"/>
        <v>88</v>
      </c>
      <c r="C1182" s="373" t="str">
        <f t="shared" si="99"/>
        <v>SAN ANDRÉS</v>
      </c>
      <c r="D1182" s="374"/>
      <c r="E1182" s="1113"/>
      <c r="F1182" s="1104"/>
      <c r="G1182" s="375"/>
      <c r="H1182" s="1062"/>
      <c r="I1182" s="1057"/>
      <c r="J1182" s="1058"/>
      <c r="K1182" s="1070" t="str">
        <f t="shared" si="94"/>
        <v>Ok</v>
      </c>
      <c r="L1182" s="1077">
        <f t="shared" si="95"/>
        <v>0</v>
      </c>
      <c r="M1182" s="1091">
        <f>+H1182/'Parametros Generales'!$C$8</f>
        <v>0</v>
      </c>
      <c r="N1182" s="1098"/>
      <c r="O1182" s="1098"/>
      <c r="P1182" s="1098"/>
      <c r="Q1182" s="1098"/>
      <c r="R1182" s="1098">
        <f>+(M1182/'Parametros Generales'!$C$9)</f>
        <v>0</v>
      </c>
      <c r="S1182" s="395"/>
      <c r="T1182" s="395"/>
      <c r="U1182" s="395"/>
      <c r="V1182" s="396"/>
      <c r="W1182" s="376">
        <f>+R1182*'Componentes T.H.'!$Q$9*'Parametros Generales'!$C$6</f>
        <v>0</v>
      </c>
      <c r="X1182" s="376">
        <f>(+VLOOKUP(C1182,'Transporte y Viaticos'!$B$87:$L$120,2,0)*'Parametros Generales'!$C$7*R1182)*(2/3)</f>
        <v>0</v>
      </c>
      <c r="Y1182" s="417"/>
      <c r="Z1182" s="417"/>
      <c r="AA1182" s="417"/>
      <c r="AB1182" s="417">
        <f>+M1182*'Parametros Generales'!$C$6*'Parametros Generales'!$J$9</f>
        <v>0</v>
      </c>
      <c r="AC1182" s="417">
        <f>+H1182*'Parametros Generales'!$J$10*'Parametros Generales'!$C$6*'Parametros Generales'!$C$11</f>
        <v>0</v>
      </c>
      <c r="AD1182" s="417"/>
      <c r="AE1182" s="417"/>
      <c r="AF1182" s="417"/>
      <c r="AG1182" s="417"/>
      <c r="AH1182" s="417"/>
      <c r="AI1182" s="417"/>
      <c r="AJ1182" s="417"/>
      <c r="AK1182" s="436"/>
      <c r="AL1182" s="822"/>
    </row>
    <row r="1183" spans="1:38" s="33" customFormat="1" hidden="1" outlineLevel="1">
      <c r="A1183" s="1150"/>
      <c r="B1183" s="823">
        <f t="shared" si="98"/>
        <v>88</v>
      </c>
      <c r="C1183" s="373" t="str">
        <f t="shared" si="99"/>
        <v>SAN ANDRÉS</v>
      </c>
      <c r="D1183" s="374"/>
      <c r="E1183" s="1113"/>
      <c r="F1183" s="1104"/>
      <c r="G1183" s="375"/>
      <c r="H1183" s="1062"/>
      <c r="I1183" s="1057"/>
      <c r="J1183" s="1058"/>
      <c r="K1183" s="1070" t="str">
        <f t="shared" si="94"/>
        <v>Ok</v>
      </c>
      <c r="L1183" s="1077">
        <f t="shared" si="95"/>
        <v>0</v>
      </c>
      <c r="M1183" s="1091">
        <f>+H1183/'Parametros Generales'!$C$8</f>
        <v>0</v>
      </c>
      <c r="N1183" s="1098"/>
      <c r="O1183" s="1098"/>
      <c r="P1183" s="1098"/>
      <c r="Q1183" s="1098"/>
      <c r="R1183" s="1098">
        <f>+(M1183/'Parametros Generales'!$C$9)</f>
        <v>0</v>
      </c>
      <c r="S1183" s="395"/>
      <c r="T1183" s="395"/>
      <c r="U1183" s="395"/>
      <c r="V1183" s="396"/>
      <c r="W1183" s="376">
        <f>+R1183*'Componentes T.H.'!$Q$9*'Parametros Generales'!$C$6</f>
        <v>0</v>
      </c>
      <c r="X1183" s="376">
        <f>(+VLOOKUP(C1183,'Transporte y Viaticos'!$B$87:$L$120,2,0)*'Parametros Generales'!$C$7*R1183)*(2/3)</f>
        <v>0</v>
      </c>
      <c r="Y1183" s="417"/>
      <c r="Z1183" s="417"/>
      <c r="AA1183" s="417"/>
      <c r="AB1183" s="417">
        <f>+M1183*'Parametros Generales'!$C$6*'Parametros Generales'!$J$9</f>
        <v>0</v>
      </c>
      <c r="AC1183" s="417">
        <f>+H1183*'Parametros Generales'!$J$10*'Parametros Generales'!$C$6*'Parametros Generales'!$C$11</f>
        <v>0</v>
      </c>
      <c r="AD1183" s="417"/>
      <c r="AE1183" s="417"/>
      <c r="AF1183" s="417"/>
      <c r="AG1183" s="417"/>
      <c r="AH1183" s="417"/>
      <c r="AI1183" s="417"/>
      <c r="AJ1183" s="417"/>
      <c r="AK1183" s="436"/>
      <c r="AL1183" s="822"/>
    </row>
    <row r="1184" spans="1:38" s="33" customFormat="1" hidden="1" outlineLevel="1">
      <c r="A1184" s="1150"/>
      <c r="B1184" s="823">
        <f t="shared" si="98"/>
        <v>88</v>
      </c>
      <c r="C1184" s="373" t="str">
        <f t="shared" si="99"/>
        <v>SAN ANDRÉS</v>
      </c>
      <c r="D1184" s="374"/>
      <c r="E1184" s="1113"/>
      <c r="F1184" s="1104"/>
      <c r="G1184" s="375"/>
      <c r="H1184" s="1062"/>
      <c r="I1184" s="1057"/>
      <c r="J1184" s="1058"/>
      <c r="K1184" s="1070" t="str">
        <f t="shared" si="94"/>
        <v>Ok</v>
      </c>
      <c r="L1184" s="1077">
        <f t="shared" si="95"/>
        <v>0</v>
      </c>
      <c r="M1184" s="1091">
        <f>+H1184/'Parametros Generales'!$C$8</f>
        <v>0</v>
      </c>
      <c r="N1184" s="1098"/>
      <c r="O1184" s="1098"/>
      <c r="P1184" s="1098"/>
      <c r="Q1184" s="1098"/>
      <c r="R1184" s="1098">
        <f>+(M1184/'Parametros Generales'!$C$9)</f>
        <v>0</v>
      </c>
      <c r="S1184" s="395"/>
      <c r="T1184" s="395"/>
      <c r="U1184" s="395"/>
      <c r="V1184" s="396"/>
      <c r="W1184" s="376">
        <f>+R1184*'Componentes T.H.'!$Q$9*'Parametros Generales'!$C$6</f>
        <v>0</v>
      </c>
      <c r="X1184" s="376">
        <f>(+VLOOKUP(C1184,'Transporte y Viaticos'!$B$87:$L$120,2,0)*'Parametros Generales'!$C$7*R1184)*(2/3)</f>
        <v>0</v>
      </c>
      <c r="Y1184" s="417"/>
      <c r="Z1184" s="417"/>
      <c r="AA1184" s="417"/>
      <c r="AB1184" s="417">
        <f>+M1184*'Parametros Generales'!$C$6*'Parametros Generales'!$J$9</f>
        <v>0</v>
      </c>
      <c r="AC1184" s="417">
        <f>+H1184*'Parametros Generales'!$J$10*'Parametros Generales'!$C$6*'Parametros Generales'!$C$11</f>
        <v>0</v>
      </c>
      <c r="AD1184" s="417"/>
      <c r="AE1184" s="417"/>
      <c r="AF1184" s="417"/>
      <c r="AG1184" s="417"/>
      <c r="AH1184" s="417"/>
      <c r="AI1184" s="417"/>
      <c r="AJ1184" s="417"/>
      <c r="AK1184" s="436"/>
      <c r="AL1184" s="822"/>
    </row>
    <row r="1185" spans="1:38" s="392" customFormat="1" collapsed="1">
      <c r="A1185" s="1151">
        <v>30</v>
      </c>
      <c r="B1185" s="824">
        <v>91</v>
      </c>
      <c r="C1185" s="385" t="s">
        <v>732</v>
      </c>
      <c r="D1185" s="386"/>
      <c r="E1185" s="1114" t="s">
        <v>732</v>
      </c>
      <c r="F1185" s="1105">
        <f>SUM(F1186:F1203)</f>
        <v>8</v>
      </c>
      <c r="G1185" s="388">
        <f>+SUM(G1186:G1193)</f>
        <v>1089</v>
      </c>
      <c r="H1185" s="512">
        <f>+SUM(H1186:H1203)</f>
        <v>1200</v>
      </c>
      <c r="I1185" s="1057" t="s">
        <v>732</v>
      </c>
      <c r="J1185" s="1067">
        <v>1200</v>
      </c>
      <c r="K1185" s="1069" t="str">
        <f t="shared" si="94"/>
        <v>Ok</v>
      </c>
      <c r="L1185" s="1077">
        <f t="shared" si="95"/>
        <v>0</v>
      </c>
      <c r="M1185" s="512">
        <f>+SUM(M1186:M1203)</f>
        <v>48</v>
      </c>
      <c r="N1185" s="1073">
        <f>+VLOOKUP(H1185,'Parametros Generales'!$B$14:$D$17,3,TRUE)</f>
        <v>0.4</v>
      </c>
      <c r="O1185" s="1073">
        <f>+VLOOKUP(H1185,'Parametros Generales'!$B$14:$D$17,3,TRUE)</f>
        <v>0.4</v>
      </c>
      <c r="P1185" s="1073">
        <f>+VLOOKUP(H1185,'Parametros Generales'!$B$14:$D$17,3,TRUE)</f>
        <v>0.4</v>
      </c>
      <c r="Q1185" s="1073">
        <f>+R1185/'Parametros Generales'!$C$10</f>
        <v>1.5</v>
      </c>
      <c r="R1185" s="512">
        <f>+SUM(R1186:R1203)</f>
        <v>12</v>
      </c>
      <c r="S1185" s="390">
        <f>+VLOOKUP(S$1,'Componentes T.H.'!$B$4:$R$22,'Componentes T.H.'!$Q$1,0)*'Parametros Generales'!$C$6*'Cost x Depart'!N1185</f>
        <v>5862705.6550666681</v>
      </c>
      <c r="T1185" s="390">
        <f>+VLOOKUP(T$1,'Componentes T.H.'!$B$4:$R$22,'Componentes T.H.'!$Q$1,0)*'Parametros Generales'!$C$6*'Cost x Depart'!O1185</f>
        <v>4417526.2636000002</v>
      </c>
      <c r="U1185" s="390">
        <f>+VLOOKUP(U$1,'Componentes T.H.'!$B$4:$R$22,'Componentes T.H.'!$Q$1,0)*'Parametros Generales'!$C$6*'Cost x Depart'!P1185</f>
        <v>1956172.8</v>
      </c>
      <c r="V1185" s="389">
        <f>+VLOOKUP(V$1,'Componentes T.H.'!$B$4:$R$22,'Componentes T.H.'!$Q$1,0)*'Parametros Generales'!$C$6*'Cost x Depart'!Q1185</f>
        <v>14986571.3015</v>
      </c>
      <c r="W1185" s="512">
        <f>+SUM(W1186:W1203)</f>
        <v>60222084.852000013</v>
      </c>
      <c r="X1185" s="512">
        <f>+SUM(X1186:X1203)</f>
        <v>3502626.9374011336</v>
      </c>
      <c r="Y1185" s="391">
        <f>+VLOOKUP(C1186,'Transporte y Viaticos'!$B$87:$F$120,2,0)*((O1185/'Parametros Generales'!$J$14)+(Q1185/'Parametros Generales'!$J$15)+(R1185/'Parametros Generales'!$J$16))*'Parametros Generales'!$C$6</f>
        <v>172942.20503418098</v>
      </c>
      <c r="Z1185" s="391">
        <f>+(N1185+O1185+Q1185)*'Parametros Generales'!$C$6*'Parametros Generales'!$J$7</f>
        <v>452226</v>
      </c>
      <c r="AA1185" s="391">
        <f>+SUM(N1185:R1185)*'Parametros Generales'!$C$6*'Parametros Generales'!$J$8</f>
        <v>2638650</v>
      </c>
      <c r="AB1185" s="512">
        <f>+SUM(AB1186:AB1203)</f>
        <v>23371636.363636367</v>
      </c>
      <c r="AC1185" s="512">
        <f>+SUM(AC1186:AC1203)</f>
        <v>88430992.604409754</v>
      </c>
      <c r="AD1185" s="391">
        <f>+'Parametros Generales'!$J$11*SUM(N1185:R1185)</f>
        <v>494508</v>
      </c>
      <c r="AE1185" s="436">
        <f>+SUM(S1185:AD1185)</f>
        <v>206508642.9826481</v>
      </c>
      <c r="AF1185" s="391">
        <f>+AE1185*(SUM('Res de Costos Pais'!G117:G117))</f>
        <v>14145842.044311397</v>
      </c>
      <c r="AG1185" s="391">
        <f>+AE1185+AF1185</f>
        <v>220654485.02695951</v>
      </c>
      <c r="AH1185" s="391">
        <f>+AG1185*SUM('Res de Costos Pais'!$G$123:$G$124)</f>
        <v>2131522.325360429</v>
      </c>
      <c r="AI1185" s="391">
        <f>+(AG1185+AH1185)*'Res de Costos Pais'!$G$136</f>
        <v>601522.2198512638</v>
      </c>
      <c r="AJ1185" s="391">
        <f>+(AG1185+AH1185+AI1185)*'Res de Costos Pais'!$G$140</f>
        <v>893550.11828868475</v>
      </c>
      <c r="AK1185" s="391">
        <f>+AG1185+AH1185+AI1185+AJ1185</f>
        <v>224281079.69045988</v>
      </c>
      <c r="AL1185" s="820">
        <f>IF(ISERROR((+(AK1185/H1185)/'Parametros Generales'!$C$6)),0,(+(AK1185/H1185)/'Parametros Generales'!$C$6))</f>
        <v>37380.179948409976</v>
      </c>
    </row>
    <row r="1186" spans="1:38" s="33" customFormat="1" hidden="1" outlineLevel="1">
      <c r="A1186" s="1150"/>
      <c r="B1186" s="819">
        <v>91</v>
      </c>
      <c r="C1186" s="377" t="s">
        <v>732</v>
      </c>
      <c r="D1186" s="378">
        <f>+VLOOKUP(E1186,Codigos!$A$1:$B$1123,2,0)</f>
        <v>91001</v>
      </c>
      <c r="E1186" s="1110" t="s">
        <v>2302</v>
      </c>
      <c r="F1186" s="1102">
        <v>1</v>
      </c>
      <c r="G1186" s="379">
        <f>363+33</f>
        <v>396</v>
      </c>
      <c r="H1186" s="1060">
        <f>CEILING(G1186,'Parametros Generales'!$C$8)</f>
        <v>400</v>
      </c>
      <c r="I1186" s="1057" t="s">
        <v>733</v>
      </c>
      <c r="J1186" s="1058">
        <v>400</v>
      </c>
      <c r="K1186" s="1070" t="str">
        <f t="shared" si="94"/>
        <v>Ok</v>
      </c>
      <c r="L1186" s="1077">
        <f t="shared" si="95"/>
        <v>0</v>
      </c>
      <c r="M1186" s="1089">
        <f>+H1186/'Parametros Generales'!$C$8</f>
        <v>16</v>
      </c>
      <c r="N1186" s="1096"/>
      <c r="O1186" s="1096"/>
      <c r="P1186" s="1096"/>
      <c r="Q1186" s="1096"/>
      <c r="R1186" s="1096">
        <f>+(M1186/'Parametros Generales'!$C$9)</f>
        <v>4</v>
      </c>
      <c r="S1186" s="393"/>
      <c r="T1186" s="393"/>
      <c r="U1186" s="393"/>
      <c r="V1186" s="394"/>
      <c r="W1186" s="380">
        <f>+R1186*'Componentes T.H.'!$Q$9*'Parametros Generales'!$C$6</f>
        <v>20074028.284000002</v>
      </c>
      <c r="X1186" s="380">
        <f>(+VLOOKUP(C1186,'Transporte y Viaticos'!$B$87:$L$120,2,0)*'Parametros Generales'!$C$7*R1186)*(2/3)</f>
        <v>1167542.3124670447</v>
      </c>
      <c r="Y1186" s="417"/>
      <c r="Z1186" s="417"/>
      <c r="AA1186" s="417"/>
      <c r="AB1186" s="417">
        <f>+M1186*'Parametros Generales'!$C$6*'Parametros Generales'!$J$9</f>
        <v>7790545.4545454569</v>
      </c>
      <c r="AC1186" s="417">
        <f>+H1186*'Parametros Generales'!$J$10*'Parametros Generales'!$C$6*'Parametros Generales'!$C$11</f>
        <v>29476997.534803249</v>
      </c>
      <c r="AD1186" s="417"/>
      <c r="AE1186" s="417"/>
      <c r="AF1186" s="417"/>
      <c r="AG1186" s="417"/>
      <c r="AH1186" s="417"/>
      <c r="AI1186" s="417"/>
      <c r="AJ1186" s="417"/>
      <c r="AK1186" s="436"/>
      <c r="AL1186" s="822"/>
    </row>
    <row r="1187" spans="1:38" s="33" customFormat="1" hidden="1" outlineLevel="1">
      <c r="A1187" s="1150"/>
      <c r="B1187" s="821">
        <v>91</v>
      </c>
      <c r="C1187" s="371" t="s">
        <v>732</v>
      </c>
      <c r="D1187" s="31">
        <f>+VLOOKUP(E1187,Codigos!$A$1:$B$1123,2,0)</f>
        <v>91405</v>
      </c>
      <c r="E1187" s="1111" t="s">
        <v>2303</v>
      </c>
      <c r="F1187" s="1103">
        <v>1</v>
      </c>
      <c r="G1187" s="30">
        <f t="shared" ref="G1187:G1193" si="100">198-99</f>
        <v>99</v>
      </c>
      <c r="H1187" s="1061">
        <f>CEILING(G1187,'Parametros Generales'!$C$8)</f>
        <v>100</v>
      </c>
      <c r="I1187" s="1057" t="s">
        <v>734</v>
      </c>
      <c r="J1187" s="1058">
        <v>100</v>
      </c>
      <c r="K1187" s="1070" t="str">
        <f t="shared" si="94"/>
        <v>Ok</v>
      </c>
      <c r="L1187" s="1077">
        <f t="shared" si="95"/>
        <v>0</v>
      </c>
      <c r="M1187" s="1090">
        <f>+H1187/'Parametros Generales'!$C$8</f>
        <v>4</v>
      </c>
      <c r="N1187" s="1097"/>
      <c r="O1187" s="1097"/>
      <c r="P1187" s="1097"/>
      <c r="Q1187" s="1097"/>
      <c r="R1187" s="1097">
        <f>+(M1187/'Parametros Generales'!$C$9)</f>
        <v>1</v>
      </c>
      <c r="S1187" s="390"/>
      <c r="T1187" s="390"/>
      <c r="U1187" s="390"/>
      <c r="V1187" s="389"/>
      <c r="W1187" s="32">
        <f>+R1187*'Componentes T.H.'!$Q$9*'Parametros Generales'!$C$6</f>
        <v>5018507.0710000005</v>
      </c>
      <c r="X1187" s="32">
        <f>(+VLOOKUP(C1187,'Transporte y Viaticos'!$B$87:$L$120,2,0)*'Parametros Generales'!$C$7*R1187)*(2/3)</f>
        <v>291885.57811676117</v>
      </c>
      <c r="Y1187" s="417"/>
      <c r="Z1187" s="417"/>
      <c r="AA1187" s="417"/>
      <c r="AB1187" s="417">
        <f>+M1187*'Parametros Generales'!$C$6*'Parametros Generales'!$J$9</f>
        <v>1947636.3636363642</v>
      </c>
      <c r="AC1187" s="417">
        <f>+H1187*'Parametros Generales'!$J$10*'Parametros Generales'!$C$6*'Parametros Generales'!$C$11</f>
        <v>7369249.3837008122</v>
      </c>
      <c r="AD1187" s="417"/>
      <c r="AE1187" s="417"/>
      <c r="AF1187" s="417"/>
      <c r="AG1187" s="417"/>
      <c r="AH1187" s="417"/>
      <c r="AI1187" s="417"/>
      <c r="AJ1187" s="417"/>
      <c r="AK1187" s="436"/>
      <c r="AL1187" s="822"/>
    </row>
    <row r="1188" spans="1:38" s="33" customFormat="1" hidden="1" outlineLevel="1">
      <c r="A1188" s="1150"/>
      <c r="B1188" s="821">
        <v>91</v>
      </c>
      <c r="C1188" s="371" t="s">
        <v>732</v>
      </c>
      <c r="D1188" s="31">
        <f>+VLOOKUP(E1188,Codigos!$A$1:$B$1123,2,0)</f>
        <v>91263</v>
      </c>
      <c r="E1188" s="1111" t="s">
        <v>2304</v>
      </c>
      <c r="F1188" s="1103">
        <v>1</v>
      </c>
      <c r="G1188" s="30">
        <f t="shared" si="100"/>
        <v>99</v>
      </c>
      <c r="H1188" s="1061">
        <f>CEILING(G1188,'Parametros Generales'!$C$8)</f>
        <v>100</v>
      </c>
      <c r="I1188" s="1057" t="s">
        <v>735</v>
      </c>
      <c r="J1188" s="1058">
        <v>100</v>
      </c>
      <c r="K1188" s="1070" t="str">
        <f t="shared" si="94"/>
        <v>Ok</v>
      </c>
      <c r="L1188" s="1076">
        <f t="shared" si="95"/>
        <v>0</v>
      </c>
      <c r="M1188" s="1090">
        <f>+H1188/'Parametros Generales'!$C$8</f>
        <v>4</v>
      </c>
      <c r="N1188" s="1097"/>
      <c r="O1188" s="1097"/>
      <c r="P1188" s="1097"/>
      <c r="Q1188" s="1097"/>
      <c r="R1188" s="1097">
        <f>+(M1188/'Parametros Generales'!$C$9)</f>
        <v>1</v>
      </c>
      <c r="S1188" s="390"/>
      <c r="T1188" s="390"/>
      <c r="U1188" s="390"/>
      <c r="V1188" s="389"/>
      <c r="W1188" s="32">
        <f>+R1188*'Componentes T.H.'!$Q$9*'Parametros Generales'!$C$6</f>
        <v>5018507.0710000005</v>
      </c>
      <c r="X1188" s="32">
        <f>(+VLOOKUP(C1188,'Transporte y Viaticos'!$B$87:$L$120,2,0)*'Parametros Generales'!$C$7*R1188)*(2/3)</f>
        <v>291885.57811676117</v>
      </c>
      <c r="Y1188" s="417"/>
      <c r="Z1188" s="417"/>
      <c r="AA1188" s="417"/>
      <c r="AB1188" s="417">
        <f>+M1188*'Parametros Generales'!$C$6*'Parametros Generales'!$J$9</f>
        <v>1947636.3636363642</v>
      </c>
      <c r="AC1188" s="417">
        <f>+H1188*'Parametros Generales'!$J$10*'Parametros Generales'!$C$6*'Parametros Generales'!$C$11</f>
        <v>7369249.3837008122</v>
      </c>
      <c r="AD1188" s="417"/>
      <c r="AE1188" s="417"/>
      <c r="AF1188" s="417"/>
      <c r="AG1188" s="417"/>
      <c r="AH1188" s="417"/>
      <c r="AI1188" s="417"/>
      <c r="AJ1188" s="417"/>
      <c r="AK1188" s="436"/>
      <c r="AL1188" s="822"/>
    </row>
    <row r="1189" spans="1:38" s="33" customFormat="1" hidden="1" outlineLevel="1">
      <c r="A1189" s="1150"/>
      <c r="B1189" s="821">
        <v>91</v>
      </c>
      <c r="C1189" s="371" t="s">
        <v>732</v>
      </c>
      <c r="D1189" s="31">
        <f>+VLOOKUP(E1189,Codigos!$A$1:$B$1123,2,0)</f>
        <v>91407</v>
      </c>
      <c r="E1189" s="1111" t="s">
        <v>2305</v>
      </c>
      <c r="F1189" s="1103">
        <v>1</v>
      </c>
      <c r="G1189" s="30">
        <f t="shared" si="100"/>
        <v>99</v>
      </c>
      <c r="H1189" s="1061">
        <f>CEILING(G1189,'Parametros Generales'!$C$8)</f>
        <v>100</v>
      </c>
      <c r="I1189" s="1057" t="s">
        <v>736</v>
      </c>
      <c r="J1189" s="1058">
        <v>100</v>
      </c>
      <c r="K1189" s="1070" t="str">
        <f t="shared" si="94"/>
        <v>Ok</v>
      </c>
      <c r="L1189" s="1077">
        <f t="shared" si="95"/>
        <v>0</v>
      </c>
      <c r="M1189" s="1090">
        <f>+H1189/'Parametros Generales'!$C$8</f>
        <v>4</v>
      </c>
      <c r="N1189" s="1097"/>
      <c r="O1189" s="1097"/>
      <c r="P1189" s="1097"/>
      <c r="Q1189" s="1097"/>
      <c r="R1189" s="1097">
        <f>+(M1189/'Parametros Generales'!$C$9)</f>
        <v>1</v>
      </c>
      <c r="S1189" s="390"/>
      <c r="T1189" s="390"/>
      <c r="U1189" s="390"/>
      <c r="V1189" s="389"/>
      <c r="W1189" s="32">
        <f>+R1189*'Componentes T.H.'!$Q$9*'Parametros Generales'!$C$6</f>
        <v>5018507.0710000005</v>
      </c>
      <c r="X1189" s="32">
        <f>(+VLOOKUP(C1189,'Transporte y Viaticos'!$B$87:$L$120,2,0)*'Parametros Generales'!$C$7*R1189)*(2/3)</f>
        <v>291885.57811676117</v>
      </c>
      <c r="Y1189" s="417"/>
      <c r="Z1189" s="417"/>
      <c r="AA1189" s="417"/>
      <c r="AB1189" s="417">
        <f>+M1189*'Parametros Generales'!$C$6*'Parametros Generales'!$J$9</f>
        <v>1947636.3636363642</v>
      </c>
      <c r="AC1189" s="417">
        <f>+H1189*'Parametros Generales'!$J$10*'Parametros Generales'!$C$6*'Parametros Generales'!$C$11</f>
        <v>7369249.3837008122</v>
      </c>
      <c r="AD1189" s="417"/>
      <c r="AE1189" s="417"/>
      <c r="AF1189" s="417"/>
      <c r="AG1189" s="417"/>
      <c r="AH1189" s="417"/>
      <c r="AI1189" s="417"/>
      <c r="AJ1189" s="417"/>
      <c r="AK1189" s="436"/>
      <c r="AL1189" s="822"/>
    </row>
    <row r="1190" spans="1:38" s="33" customFormat="1" hidden="1" outlineLevel="1">
      <c r="A1190" s="1150"/>
      <c r="B1190" s="821">
        <v>91</v>
      </c>
      <c r="C1190" s="371" t="s">
        <v>732</v>
      </c>
      <c r="D1190" s="31">
        <f>+VLOOKUP(E1190,Codigos!$A$1:$B$1123,2,0)</f>
        <v>91530</v>
      </c>
      <c r="E1190" s="1111" t="s">
        <v>2306</v>
      </c>
      <c r="F1190" s="1103">
        <v>1</v>
      </c>
      <c r="G1190" s="30">
        <f t="shared" si="100"/>
        <v>99</v>
      </c>
      <c r="H1190" s="1061">
        <f>CEILING(G1190,'Parametros Generales'!$C$8)</f>
        <v>100</v>
      </c>
      <c r="I1190" s="1057" t="s">
        <v>737</v>
      </c>
      <c r="J1190" s="1058">
        <v>100</v>
      </c>
      <c r="K1190" s="1070" t="str">
        <f t="shared" si="94"/>
        <v>Ok</v>
      </c>
      <c r="L1190" s="1077">
        <f t="shared" si="95"/>
        <v>0</v>
      </c>
      <c r="M1190" s="1090">
        <f>+H1190/'Parametros Generales'!$C$8</f>
        <v>4</v>
      </c>
      <c r="N1190" s="1097"/>
      <c r="O1190" s="1097"/>
      <c r="P1190" s="1097"/>
      <c r="Q1190" s="1097"/>
      <c r="R1190" s="1097">
        <f>+(M1190/'Parametros Generales'!$C$9)</f>
        <v>1</v>
      </c>
      <c r="S1190" s="390"/>
      <c r="T1190" s="390"/>
      <c r="U1190" s="390"/>
      <c r="V1190" s="389"/>
      <c r="W1190" s="32">
        <f>+R1190*'Componentes T.H.'!$Q$9*'Parametros Generales'!$C$6</f>
        <v>5018507.0710000005</v>
      </c>
      <c r="X1190" s="32">
        <f>(+VLOOKUP(C1190,'Transporte y Viaticos'!$B$87:$L$120,2,0)*'Parametros Generales'!$C$7*R1190)*(2/3)</f>
        <v>291885.57811676117</v>
      </c>
      <c r="Y1190" s="417"/>
      <c r="Z1190" s="417"/>
      <c r="AA1190" s="417"/>
      <c r="AB1190" s="417">
        <f>+M1190*'Parametros Generales'!$C$6*'Parametros Generales'!$J$9</f>
        <v>1947636.3636363642</v>
      </c>
      <c r="AC1190" s="417">
        <f>+H1190*'Parametros Generales'!$J$10*'Parametros Generales'!$C$6*'Parametros Generales'!$C$11</f>
        <v>7369249.3837008122</v>
      </c>
      <c r="AD1190" s="417"/>
      <c r="AE1190" s="417"/>
      <c r="AF1190" s="417"/>
      <c r="AG1190" s="417"/>
      <c r="AH1190" s="417"/>
      <c r="AI1190" s="417"/>
      <c r="AJ1190" s="417"/>
      <c r="AK1190" s="436"/>
      <c r="AL1190" s="822"/>
    </row>
    <row r="1191" spans="1:38" s="33" customFormat="1" hidden="1" outlineLevel="1">
      <c r="A1191" s="1150"/>
      <c r="B1191" s="821">
        <v>91</v>
      </c>
      <c r="C1191" s="371" t="s">
        <v>732</v>
      </c>
      <c r="D1191" s="31">
        <f>+VLOOKUP(E1191,Codigos!$A$1:$B$1123,2,0)</f>
        <v>91540</v>
      </c>
      <c r="E1191" s="1111" t="s">
        <v>2307</v>
      </c>
      <c r="F1191" s="1103">
        <v>1</v>
      </c>
      <c r="G1191" s="30">
        <f t="shared" si="100"/>
        <v>99</v>
      </c>
      <c r="H1191" s="1061">
        <f>CEILING((G1191+100),'Parametros Generales'!$C$8)</f>
        <v>200</v>
      </c>
      <c r="I1191" s="1057" t="s">
        <v>738</v>
      </c>
      <c r="J1191" s="1058">
        <v>200</v>
      </c>
      <c r="K1191" s="1070" t="str">
        <f t="shared" si="94"/>
        <v>Ok</v>
      </c>
      <c r="L1191" s="1077">
        <f t="shared" si="95"/>
        <v>0</v>
      </c>
      <c r="M1191" s="1090">
        <f>+H1191/'Parametros Generales'!$C$8</f>
        <v>8</v>
      </c>
      <c r="N1191" s="1097"/>
      <c r="O1191" s="1097"/>
      <c r="P1191" s="1097"/>
      <c r="Q1191" s="1097"/>
      <c r="R1191" s="1097">
        <f>+(M1191/'Parametros Generales'!$C$9)</f>
        <v>2</v>
      </c>
      <c r="S1191" s="390"/>
      <c r="T1191" s="390"/>
      <c r="U1191" s="390"/>
      <c r="V1191" s="389"/>
      <c r="W1191" s="32">
        <f>+R1191*'Componentes T.H.'!$Q$9*'Parametros Generales'!$C$6</f>
        <v>10037014.142000001</v>
      </c>
      <c r="X1191" s="32">
        <f>(+VLOOKUP(C1191,'Transporte y Viaticos'!$B$87:$L$120,2,0)*'Parametros Generales'!$C$7*R1191)*(2/3)</f>
        <v>583771.15623352234</v>
      </c>
      <c r="Y1191" s="417"/>
      <c r="Z1191" s="417"/>
      <c r="AA1191" s="417"/>
      <c r="AB1191" s="417">
        <f>+M1191*'Parametros Generales'!$C$6*'Parametros Generales'!$J$9</f>
        <v>3895272.7272727285</v>
      </c>
      <c r="AC1191" s="417">
        <f>+H1191*'Parametros Generales'!$J$10*'Parametros Generales'!$C$6*'Parametros Generales'!$C$11</f>
        <v>14738498.767401624</v>
      </c>
      <c r="AD1191" s="417"/>
      <c r="AE1191" s="417"/>
      <c r="AF1191" s="417"/>
      <c r="AG1191" s="417"/>
      <c r="AH1191" s="417"/>
      <c r="AI1191" s="417"/>
      <c r="AJ1191" s="417"/>
      <c r="AK1191" s="436"/>
      <c r="AL1191" s="822"/>
    </row>
    <row r="1192" spans="1:38" s="33" customFormat="1" hidden="1" outlineLevel="1">
      <c r="A1192" s="1150"/>
      <c r="B1192" s="821">
        <v>91</v>
      </c>
      <c r="C1192" s="371" t="s">
        <v>732</v>
      </c>
      <c r="D1192" s="31">
        <f>+VLOOKUP(E1192,Codigos!$A$1:$B$1123,2,0)</f>
        <v>91669</v>
      </c>
      <c r="E1192" s="1111" t="s">
        <v>2308</v>
      </c>
      <c r="F1192" s="1103">
        <v>1</v>
      </c>
      <c r="G1192" s="30">
        <f t="shared" si="100"/>
        <v>99</v>
      </c>
      <c r="H1192" s="1061">
        <f>CEILING(G1192,'Parametros Generales'!$C$8)</f>
        <v>100</v>
      </c>
      <c r="I1192" s="1057" t="s">
        <v>739</v>
      </c>
      <c r="J1192" s="1058">
        <v>100</v>
      </c>
      <c r="K1192" s="1070" t="str">
        <f t="shared" si="94"/>
        <v>Ok</v>
      </c>
      <c r="L1192" s="1077">
        <f t="shared" si="95"/>
        <v>0</v>
      </c>
      <c r="M1192" s="1090">
        <f>+H1192/'Parametros Generales'!$C$8</f>
        <v>4</v>
      </c>
      <c r="N1192" s="1097"/>
      <c r="O1192" s="1097"/>
      <c r="P1192" s="1097"/>
      <c r="Q1192" s="1097"/>
      <c r="R1192" s="1097">
        <f>+(M1192/'Parametros Generales'!$C$9)</f>
        <v>1</v>
      </c>
      <c r="S1192" s="390"/>
      <c r="T1192" s="390"/>
      <c r="U1192" s="390"/>
      <c r="V1192" s="389"/>
      <c r="W1192" s="32">
        <f>+R1192*'Componentes T.H.'!$Q$9*'Parametros Generales'!$C$6</f>
        <v>5018507.0710000005</v>
      </c>
      <c r="X1192" s="32">
        <f>(+VLOOKUP(C1192,'Transporte y Viaticos'!$B$87:$L$120,2,0)*'Parametros Generales'!$C$7*R1192)*(2/3)</f>
        <v>291885.57811676117</v>
      </c>
      <c r="Y1192" s="417"/>
      <c r="Z1192" s="417"/>
      <c r="AA1192" s="417"/>
      <c r="AB1192" s="417">
        <f>+M1192*'Parametros Generales'!$C$6*'Parametros Generales'!$J$9</f>
        <v>1947636.3636363642</v>
      </c>
      <c r="AC1192" s="417">
        <f>+H1192*'Parametros Generales'!$J$10*'Parametros Generales'!$C$6*'Parametros Generales'!$C$11</f>
        <v>7369249.3837008122</v>
      </c>
      <c r="AD1192" s="417"/>
      <c r="AE1192" s="417"/>
      <c r="AF1192" s="417"/>
      <c r="AG1192" s="417"/>
      <c r="AH1192" s="417"/>
      <c r="AI1192" s="417"/>
      <c r="AJ1192" s="417"/>
      <c r="AK1192" s="436"/>
      <c r="AL1192" s="822"/>
    </row>
    <row r="1193" spans="1:38" s="33" customFormat="1" hidden="1" outlineLevel="1">
      <c r="A1193" s="1150"/>
      <c r="B1193" s="823">
        <v>91</v>
      </c>
      <c r="C1193" s="373" t="s">
        <v>732</v>
      </c>
      <c r="D1193" s="374">
        <f>+VLOOKUP(E1193,Codigos!$A$1:$B$1123,2,0)</f>
        <v>91798</v>
      </c>
      <c r="E1193" s="1113" t="s">
        <v>2309</v>
      </c>
      <c r="F1193" s="1104">
        <v>1</v>
      </c>
      <c r="G1193" s="375">
        <f t="shared" si="100"/>
        <v>99</v>
      </c>
      <c r="H1193" s="1062">
        <f>CEILING(G1193,'Parametros Generales'!$C$8)</f>
        <v>100</v>
      </c>
      <c r="I1193" s="1057" t="s">
        <v>740</v>
      </c>
      <c r="J1193" s="1058">
        <v>100</v>
      </c>
      <c r="K1193" s="1070" t="str">
        <f t="shared" si="94"/>
        <v>Ok</v>
      </c>
      <c r="L1193" s="1077">
        <f t="shared" si="95"/>
        <v>0</v>
      </c>
      <c r="M1193" s="1091">
        <f>+H1193/'Parametros Generales'!$C$8</f>
        <v>4</v>
      </c>
      <c r="N1193" s="1098"/>
      <c r="O1193" s="1098"/>
      <c r="P1193" s="1098"/>
      <c r="Q1193" s="1098"/>
      <c r="R1193" s="1098">
        <f>+(M1193/'Parametros Generales'!$C$9)</f>
        <v>1</v>
      </c>
      <c r="S1193" s="395"/>
      <c r="T1193" s="395"/>
      <c r="U1193" s="395"/>
      <c r="V1193" s="396"/>
      <c r="W1193" s="376">
        <f>+R1193*'Componentes T.H.'!$Q$9*'Parametros Generales'!$C$6</f>
        <v>5018507.0710000005</v>
      </c>
      <c r="X1193" s="376">
        <f>(+VLOOKUP(C1193,'Transporte y Viaticos'!$B$87:$L$120,2,0)*'Parametros Generales'!$C$7*R1193)*(2/3)</f>
        <v>291885.57811676117</v>
      </c>
      <c r="Y1193" s="417"/>
      <c r="Z1193" s="417"/>
      <c r="AA1193" s="417"/>
      <c r="AB1193" s="417">
        <f>+M1193*'Parametros Generales'!$C$6*'Parametros Generales'!$J$9</f>
        <v>1947636.3636363642</v>
      </c>
      <c r="AC1193" s="417">
        <f>+H1193*'Parametros Generales'!$J$10*'Parametros Generales'!$C$6*'Parametros Generales'!$C$11</f>
        <v>7369249.3837008122</v>
      </c>
      <c r="AD1193" s="417"/>
      <c r="AE1193" s="417"/>
      <c r="AF1193" s="417"/>
      <c r="AG1193" s="417"/>
      <c r="AH1193" s="417"/>
      <c r="AI1193" s="417"/>
      <c r="AJ1193" s="417"/>
      <c r="AK1193" s="436"/>
      <c r="AL1193" s="822"/>
    </row>
    <row r="1194" spans="1:38" s="33" customFormat="1" hidden="1" outlineLevel="1">
      <c r="A1194" s="1150"/>
      <c r="B1194" s="823">
        <f t="shared" ref="B1194:B1203" si="101">+B1193</f>
        <v>91</v>
      </c>
      <c r="C1194" s="373" t="str">
        <f t="shared" ref="C1194:C1203" si="102">+C1193</f>
        <v>AMAZONAS</v>
      </c>
      <c r="D1194" s="374"/>
      <c r="E1194" s="1113"/>
      <c r="F1194" s="1104"/>
      <c r="G1194" s="375"/>
      <c r="H1194" s="1062"/>
      <c r="I1194" s="1057"/>
      <c r="J1194" s="1058"/>
      <c r="K1194" s="1070" t="str">
        <f t="shared" si="94"/>
        <v>Ok</v>
      </c>
      <c r="L1194" s="1077">
        <f t="shared" si="95"/>
        <v>0</v>
      </c>
      <c r="M1194" s="1091">
        <f>+H1194/'Parametros Generales'!$C$8</f>
        <v>0</v>
      </c>
      <c r="N1194" s="1098"/>
      <c r="O1194" s="1098"/>
      <c r="P1194" s="1098"/>
      <c r="Q1194" s="1098"/>
      <c r="R1194" s="1098">
        <f>+(M1194/'Parametros Generales'!$C$9)</f>
        <v>0</v>
      </c>
      <c r="S1194" s="395"/>
      <c r="T1194" s="395"/>
      <c r="U1194" s="395"/>
      <c r="V1194" s="396"/>
      <c r="W1194" s="376">
        <f>+R1194*'Componentes T.H.'!$Q$9*'Parametros Generales'!$C$6</f>
        <v>0</v>
      </c>
      <c r="X1194" s="376">
        <f>(+VLOOKUP(C1194,'Transporte y Viaticos'!$B$87:$L$120,2,0)*'Parametros Generales'!$C$7*R1194)*(2/3)</f>
        <v>0</v>
      </c>
      <c r="Y1194" s="417"/>
      <c r="Z1194" s="417"/>
      <c r="AA1194" s="417"/>
      <c r="AB1194" s="417">
        <f>+M1194*'Parametros Generales'!$C$6*'Parametros Generales'!$J$9</f>
        <v>0</v>
      </c>
      <c r="AC1194" s="417">
        <f>+H1194*'Parametros Generales'!$J$10*'Parametros Generales'!$C$6*'Parametros Generales'!$C$11</f>
        <v>0</v>
      </c>
      <c r="AD1194" s="417"/>
      <c r="AE1194" s="417"/>
      <c r="AF1194" s="417"/>
      <c r="AG1194" s="417"/>
      <c r="AH1194" s="417"/>
      <c r="AI1194" s="417"/>
      <c r="AJ1194" s="417"/>
      <c r="AK1194" s="436"/>
      <c r="AL1194" s="822"/>
    </row>
    <row r="1195" spans="1:38" s="33" customFormat="1" hidden="1" outlineLevel="1">
      <c r="A1195" s="1150"/>
      <c r="B1195" s="823">
        <f t="shared" si="101"/>
        <v>91</v>
      </c>
      <c r="C1195" s="373" t="str">
        <f t="shared" si="102"/>
        <v>AMAZONAS</v>
      </c>
      <c r="D1195" s="374"/>
      <c r="E1195" s="1113"/>
      <c r="F1195" s="1104"/>
      <c r="G1195" s="375"/>
      <c r="H1195" s="1062"/>
      <c r="I1195" s="1057"/>
      <c r="J1195" s="1058"/>
      <c r="K1195" s="1070" t="str">
        <f t="shared" si="94"/>
        <v>Ok</v>
      </c>
      <c r="L1195" s="1077">
        <f t="shared" si="95"/>
        <v>0</v>
      </c>
      <c r="M1195" s="1091">
        <f>+H1195/'Parametros Generales'!$C$8</f>
        <v>0</v>
      </c>
      <c r="N1195" s="1098"/>
      <c r="O1195" s="1098"/>
      <c r="P1195" s="1098"/>
      <c r="Q1195" s="1098"/>
      <c r="R1195" s="1098">
        <f>+(M1195/'Parametros Generales'!$C$9)</f>
        <v>0</v>
      </c>
      <c r="S1195" s="395"/>
      <c r="T1195" s="395"/>
      <c r="U1195" s="395"/>
      <c r="V1195" s="396"/>
      <c r="W1195" s="376">
        <f>+R1195*'Componentes T.H.'!$Q$9*'Parametros Generales'!$C$6</f>
        <v>0</v>
      </c>
      <c r="X1195" s="376">
        <f>(+VLOOKUP(C1195,'Transporte y Viaticos'!$B$87:$L$120,2,0)*'Parametros Generales'!$C$7*R1195)*(2/3)</f>
        <v>0</v>
      </c>
      <c r="Y1195" s="417"/>
      <c r="Z1195" s="417"/>
      <c r="AA1195" s="417"/>
      <c r="AB1195" s="417">
        <f>+M1195*'Parametros Generales'!$C$6*'Parametros Generales'!$J$9</f>
        <v>0</v>
      </c>
      <c r="AC1195" s="417">
        <f>+H1195*'Parametros Generales'!$J$10*'Parametros Generales'!$C$6*'Parametros Generales'!$C$11</f>
        <v>0</v>
      </c>
      <c r="AD1195" s="417"/>
      <c r="AE1195" s="417"/>
      <c r="AF1195" s="417"/>
      <c r="AG1195" s="417"/>
      <c r="AH1195" s="417"/>
      <c r="AI1195" s="417"/>
      <c r="AJ1195" s="417"/>
      <c r="AK1195" s="436"/>
      <c r="AL1195" s="822"/>
    </row>
    <row r="1196" spans="1:38" s="33" customFormat="1" hidden="1" outlineLevel="1">
      <c r="A1196" s="1150"/>
      <c r="B1196" s="823">
        <f t="shared" si="101"/>
        <v>91</v>
      </c>
      <c r="C1196" s="373" t="str">
        <f t="shared" si="102"/>
        <v>AMAZONAS</v>
      </c>
      <c r="D1196" s="374"/>
      <c r="E1196" s="1113"/>
      <c r="F1196" s="1104"/>
      <c r="G1196" s="375"/>
      <c r="H1196" s="1062"/>
      <c r="I1196" s="1057"/>
      <c r="J1196" s="1058"/>
      <c r="K1196" s="1070" t="str">
        <f t="shared" si="94"/>
        <v>Ok</v>
      </c>
      <c r="L1196" s="1077">
        <f t="shared" si="95"/>
        <v>0</v>
      </c>
      <c r="M1196" s="1091">
        <f>+H1196/'Parametros Generales'!$C$8</f>
        <v>0</v>
      </c>
      <c r="N1196" s="1098"/>
      <c r="O1196" s="1098"/>
      <c r="P1196" s="1098"/>
      <c r="Q1196" s="1098"/>
      <c r="R1196" s="1098">
        <f>+(M1196/'Parametros Generales'!$C$9)</f>
        <v>0</v>
      </c>
      <c r="S1196" s="395"/>
      <c r="T1196" s="395"/>
      <c r="U1196" s="395"/>
      <c r="V1196" s="396"/>
      <c r="W1196" s="376">
        <f>+R1196*'Componentes T.H.'!$Q$9*'Parametros Generales'!$C$6</f>
        <v>0</v>
      </c>
      <c r="X1196" s="376">
        <f>(+VLOOKUP(C1196,'Transporte y Viaticos'!$B$87:$L$120,2,0)*'Parametros Generales'!$C$7*R1196)*(2/3)</f>
        <v>0</v>
      </c>
      <c r="Y1196" s="417"/>
      <c r="Z1196" s="417"/>
      <c r="AA1196" s="417"/>
      <c r="AB1196" s="417">
        <f>+M1196*'Parametros Generales'!$C$6*'Parametros Generales'!$J$9</f>
        <v>0</v>
      </c>
      <c r="AC1196" s="417">
        <f>+H1196*'Parametros Generales'!$J$10*'Parametros Generales'!$C$6*'Parametros Generales'!$C$11</f>
        <v>0</v>
      </c>
      <c r="AD1196" s="417"/>
      <c r="AE1196" s="417"/>
      <c r="AF1196" s="417"/>
      <c r="AG1196" s="417"/>
      <c r="AH1196" s="417"/>
      <c r="AI1196" s="417"/>
      <c r="AJ1196" s="417"/>
      <c r="AK1196" s="436"/>
      <c r="AL1196" s="822"/>
    </row>
    <row r="1197" spans="1:38" s="33" customFormat="1" hidden="1" outlineLevel="1">
      <c r="A1197" s="1150"/>
      <c r="B1197" s="823">
        <f t="shared" si="101"/>
        <v>91</v>
      </c>
      <c r="C1197" s="373" t="str">
        <f t="shared" si="102"/>
        <v>AMAZONAS</v>
      </c>
      <c r="D1197" s="374"/>
      <c r="E1197" s="1113"/>
      <c r="F1197" s="1104"/>
      <c r="G1197" s="375"/>
      <c r="H1197" s="1062"/>
      <c r="I1197" s="1057"/>
      <c r="J1197" s="1058"/>
      <c r="K1197" s="1070" t="str">
        <f t="shared" si="94"/>
        <v>Ok</v>
      </c>
      <c r="L1197" s="1077">
        <f t="shared" si="95"/>
        <v>0</v>
      </c>
      <c r="M1197" s="1091">
        <f>+H1197/'Parametros Generales'!$C$8</f>
        <v>0</v>
      </c>
      <c r="N1197" s="1098"/>
      <c r="O1197" s="1098"/>
      <c r="P1197" s="1098"/>
      <c r="Q1197" s="1098"/>
      <c r="R1197" s="1098">
        <f>+(M1197/'Parametros Generales'!$C$9)</f>
        <v>0</v>
      </c>
      <c r="S1197" s="395"/>
      <c r="T1197" s="395"/>
      <c r="U1197" s="395"/>
      <c r="V1197" s="396"/>
      <c r="W1197" s="376">
        <f>+R1197*'Componentes T.H.'!$Q$9*'Parametros Generales'!$C$6</f>
        <v>0</v>
      </c>
      <c r="X1197" s="376">
        <f>(+VLOOKUP(C1197,'Transporte y Viaticos'!$B$87:$L$120,2,0)*'Parametros Generales'!$C$7*R1197)*(2/3)</f>
        <v>0</v>
      </c>
      <c r="Y1197" s="417"/>
      <c r="Z1197" s="417"/>
      <c r="AA1197" s="417"/>
      <c r="AB1197" s="417">
        <f>+M1197*'Parametros Generales'!$C$6*'Parametros Generales'!$J$9</f>
        <v>0</v>
      </c>
      <c r="AC1197" s="417">
        <f>+H1197*'Parametros Generales'!$J$10*'Parametros Generales'!$C$6*'Parametros Generales'!$C$11</f>
        <v>0</v>
      </c>
      <c r="AD1197" s="417"/>
      <c r="AE1197" s="417"/>
      <c r="AF1197" s="417"/>
      <c r="AG1197" s="417"/>
      <c r="AH1197" s="417"/>
      <c r="AI1197" s="417"/>
      <c r="AJ1197" s="417"/>
      <c r="AK1197" s="436"/>
      <c r="AL1197" s="822"/>
    </row>
    <row r="1198" spans="1:38" s="33" customFormat="1" hidden="1" outlineLevel="1">
      <c r="A1198" s="1150"/>
      <c r="B1198" s="823">
        <f t="shared" si="101"/>
        <v>91</v>
      </c>
      <c r="C1198" s="373" t="str">
        <f t="shared" si="102"/>
        <v>AMAZONAS</v>
      </c>
      <c r="D1198" s="374"/>
      <c r="E1198" s="1113"/>
      <c r="F1198" s="1104"/>
      <c r="G1198" s="375"/>
      <c r="H1198" s="1062"/>
      <c r="I1198" s="1057"/>
      <c r="J1198" s="1058"/>
      <c r="K1198" s="1070" t="str">
        <f t="shared" si="94"/>
        <v>Ok</v>
      </c>
      <c r="L1198" s="1077">
        <f t="shared" si="95"/>
        <v>0</v>
      </c>
      <c r="M1198" s="1091">
        <f>+H1198/'Parametros Generales'!$C$8</f>
        <v>0</v>
      </c>
      <c r="N1198" s="1098"/>
      <c r="O1198" s="1098"/>
      <c r="P1198" s="1098"/>
      <c r="Q1198" s="1098"/>
      <c r="R1198" s="1098">
        <f>+(M1198/'Parametros Generales'!$C$9)</f>
        <v>0</v>
      </c>
      <c r="S1198" s="395"/>
      <c r="T1198" s="395"/>
      <c r="U1198" s="395"/>
      <c r="V1198" s="396"/>
      <c r="W1198" s="376">
        <f>+R1198*'Componentes T.H.'!$Q$9*'Parametros Generales'!$C$6</f>
        <v>0</v>
      </c>
      <c r="X1198" s="376">
        <f>(+VLOOKUP(C1198,'Transporte y Viaticos'!$B$87:$L$120,2,0)*'Parametros Generales'!$C$7*R1198)*(2/3)</f>
        <v>0</v>
      </c>
      <c r="Y1198" s="417"/>
      <c r="Z1198" s="417"/>
      <c r="AA1198" s="417"/>
      <c r="AB1198" s="417">
        <f>+M1198*'Parametros Generales'!$C$6*'Parametros Generales'!$J$9</f>
        <v>0</v>
      </c>
      <c r="AC1198" s="417">
        <f>+H1198*'Parametros Generales'!$J$10*'Parametros Generales'!$C$6*'Parametros Generales'!$C$11</f>
        <v>0</v>
      </c>
      <c r="AD1198" s="417"/>
      <c r="AE1198" s="417"/>
      <c r="AF1198" s="417"/>
      <c r="AG1198" s="417"/>
      <c r="AH1198" s="417"/>
      <c r="AI1198" s="417"/>
      <c r="AJ1198" s="417"/>
      <c r="AK1198" s="436"/>
      <c r="AL1198" s="822"/>
    </row>
    <row r="1199" spans="1:38" s="33" customFormat="1" hidden="1" outlineLevel="1">
      <c r="A1199" s="1150"/>
      <c r="B1199" s="823">
        <f t="shared" si="101"/>
        <v>91</v>
      </c>
      <c r="C1199" s="373" t="str">
        <f t="shared" si="102"/>
        <v>AMAZONAS</v>
      </c>
      <c r="D1199" s="374"/>
      <c r="E1199" s="1113"/>
      <c r="F1199" s="1104"/>
      <c r="G1199" s="375"/>
      <c r="H1199" s="1062"/>
      <c r="I1199" s="1057"/>
      <c r="J1199" s="1058"/>
      <c r="K1199" s="1070" t="str">
        <f t="shared" si="94"/>
        <v>Ok</v>
      </c>
      <c r="L1199" s="1077">
        <f t="shared" si="95"/>
        <v>0</v>
      </c>
      <c r="M1199" s="1091">
        <f>+H1199/'Parametros Generales'!$C$8</f>
        <v>0</v>
      </c>
      <c r="N1199" s="1098"/>
      <c r="O1199" s="1098"/>
      <c r="P1199" s="1098"/>
      <c r="Q1199" s="1098"/>
      <c r="R1199" s="1098">
        <f>+(M1199/'Parametros Generales'!$C$9)</f>
        <v>0</v>
      </c>
      <c r="S1199" s="395"/>
      <c r="T1199" s="395"/>
      <c r="U1199" s="395"/>
      <c r="V1199" s="396"/>
      <c r="W1199" s="376">
        <f>+R1199*'Componentes T.H.'!$Q$9*'Parametros Generales'!$C$6</f>
        <v>0</v>
      </c>
      <c r="X1199" s="376">
        <f>(+VLOOKUP(C1199,'Transporte y Viaticos'!$B$87:$L$120,2,0)*'Parametros Generales'!$C$7*R1199)*(2/3)</f>
        <v>0</v>
      </c>
      <c r="Y1199" s="417"/>
      <c r="Z1199" s="417"/>
      <c r="AA1199" s="417"/>
      <c r="AB1199" s="417">
        <f>+M1199*'Parametros Generales'!$C$6*'Parametros Generales'!$J$9</f>
        <v>0</v>
      </c>
      <c r="AC1199" s="417">
        <f>+H1199*'Parametros Generales'!$J$10*'Parametros Generales'!$C$6*'Parametros Generales'!$C$11</f>
        <v>0</v>
      </c>
      <c r="AD1199" s="417"/>
      <c r="AE1199" s="417"/>
      <c r="AF1199" s="417"/>
      <c r="AG1199" s="417"/>
      <c r="AH1199" s="417"/>
      <c r="AI1199" s="417"/>
      <c r="AJ1199" s="417"/>
      <c r="AK1199" s="436"/>
      <c r="AL1199" s="822"/>
    </row>
    <row r="1200" spans="1:38" s="33" customFormat="1" hidden="1" outlineLevel="1">
      <c r="A1200" s="1150"/>
      <c r="B1200" s="823">
        <f t="shared" si="101"/>
        <v>91</v>
      </c>
      <c r="C1200" s="373" t="str">
        <f t="shared" si="102"/>
        <v>AMAZONAS</v>
      </c>
      <c r="D1200" s="374"/>
      <c r="E1200" s="1113"/>
      <c r="F1200" s="1104"/>
      <c r="G1200" s="375"/>
      <c r="H1200" s="1062"/>
      <c r="I1200" s="1057"/>
      <c r="J1200" s="1058"/>
      <c r="K1200" s="1070" t="str">
        <f t="shared" si="94"/>
        <v>Ok</v>
      </c>
      <c r="L1200" s="1077">
        <f t="shared" si="95"/>
        <v>0</v>
      </c>
      <c r="M1200" s="1091">
        <f>+H1200/'Parametros Generales'!$C$8</f>
        <v>0</v>
      </c>
      <c r="N1200" s="1098"/>
      <c r="O1200" s="1098"/>
      <c r="P1200" s="1098"/>
      <c r="Q1200" s="1098"/>
      <c r="R1200" s="1098">
        <f>+(M1200/'Parametros Generales'!$C$9)</f>
        <v>0</v>
      </c>
      <c r="S1200" s="395"/>
      <c r="T1200" s="395"/>
      <c r="U1200" s="395"/>
      <c r="V1200" s="396"/>
      <c r="W1200" s="376">
        <f>+R1200*'Componentes T.H.'!$Q$9*'Parametros Generales'!$C$6</f>
        <v>0</v>
      </c>
      <c r="X1200" s="376">
        <f>(+VLOOKUP(C1200,'Transporte y Viaticos'!$B$87:$L$120,2,0)*'Parametros Generales'!$C$7*R1200)*(2/3)</f>
        <v>0</v>
      </c>
      <c r="Y1200" s="417"/>
      <c r="Z1200" s="417"/>
      <c r="AA1200" s="417"/>
      <c r="AB1200" s="417">
        <f>+M1200*'Parametros Generales'!$C$6*'Parametros Generales'!$J$9</f>
        <v>0</v>
      </c>
      <c r="AC1200" s="417">
        <f>+H1200*'Parametros Generales'!$J$10*'Parametros Generales'!$C$6*'Parametros Generales'!$C$11</f>
        <v>0</v>
      </c>
      <c r="AD1200" s="417"/>
      <c r="AE1200" s="417"/>
      <c r="AF1200" s="417"/>
      <c r="AG1200" s="417"/>
      <c r="AH1200" s="417"/>
      <c r="AI1200" s="417"/>
      <c r="AJ1200" s="417"/>
      <c r="AK1200" s="436"/>
      <c r="AL1200" s="822"/>
    </row>
    <row r="1201" spans="1:38" s="33" customFormat="1" hidden="1" outlineLevel="1">
      <c r="A1201" s="1150"/>
      <c r="B1201" s="823">
        <f t="shared" si="101"/>
        <v>91</v>
      </c>
      <c r="C1201" s="373" t="str">
        <f t="shared" si="102"/>
        <v>AMAZONAS</v>
      </c>
      <c r="D1201" s="374"/>
      <c r="E1201" s="1113"/>
      <c r="F1201" s="1104"/>
      <c r="G1201" s="375"/>
      <c r="H1201" s="1062"/>
      <c r="I1201" s="1057"/>
      <c r="J1201" s="1058"/>
      <c r="K1201" s="1070" t="str">
        <f t="shared" si="94"/>
        <v>Ok</v>
      </c>
      <c r="L1201" s="1077">
        <f t="shared" si="95"/>
        <v>0</v>
      </c>
      <c r="M1201" s="1091">
        <f>+H1201/'Parametros Generales'!$C$8</f>
        <v>0</v>
      </c>
      <c r="N1201" s="1098"/>
      <c r="O1201" s="1098"/>
      <c r="P1201" s="1098"/>
      <c r="Q1201" s="1098"/>
      <c r="R1201" s="1098">
        <f>+(M1201/'Parametros Generales'!$C$9)</f>
        <v>0</v>
      </c>
      <c r="S1201" s="395"/>
      <c r="T1201" s="395"/>
      <c r="U1201" s="395"/>
      <c r="V1201" s="396"/>
      <c r="W1201" s="376">
        <f>+R1201*'Componentes T.H.'!$Q$9*'Parametros Generales'!$C$6</f>
        <v>0</v>
      </c>
      <c r="X1201" s="376">
        <f>(+VLOOKUP(C1201,'Transporte y Viaticos'!$B$87:$L$120,2,0)*'Parametros Generales'!$C$7*R1201)*(2/3)</f>
        <v>0</v>
      </c>
      <c r="Y1201" s="417"/>
      <c r="Z1201" s="417"/>
      <c r="AA1201" s="417"/>
      <c r="AB1201" s="417">
        <f>+M1201*'Parametros Generales'!$C$6*'Parametros Generales'!$J$9</f>
        <v>0</v>
      </c>
      <c r="AC1201" s="417">
        <f>+H1201*'Parametros Generales'!$J$10*'Parametros Generales'!$C$6*'Parametros Generales'!$C$11</f>
        <v>0</v>
      </c>
      <c r="AD1201" s="417"/>
      <c r="AE1201" s="417"/>
      <c r="AF1201" s="417"/>
      <c r="AG1201" s="417"/>
      <c r="AH1201" s="417"/>
      <c r="AI1201" s="417"/>
      <c r="AJ1201" s="417"/>
      <c r="AK1201" s="436"/>
      <c r="AL1201" s="822"/>
    </row>
    <row r="1202" spans="1:38" s="33" customFormat="1" hidden="1" outlineLevel="1">
      <c r="A1202" s="1150"/>
      <c r="B1202" s="823">
        <f t="shared" si="101"/>
        <v>91</v>
      </c>
      <c r="C1202" s="373" t="str">
        <f t="shared" si="102"/>
        <v>AMAZONAS</v>
      </c>
      <c r="D1202" s="374"/>
      <c r="E1202" s="1113"/>
      <c r="F1202" s="1104"/>
      <c r="G1202" s="375"/>
      <c r="H1202" s="1062"/>
      <c r="I1202" s="1057"/>
      <c r="J1202" s="1058"/>
      <c r="K1202" s="1070" t="str">
        <f t="shared" si="94"/>
        <v>Ok</v>
      </c>
      <c r="L1202" s="1077">
        <f t="shared" si="95"/>
        <v>0</v>
      </c>
      <c r="M1202" s="1091">
        <f>+H1202/'Parametros Generales'!$C$8</f>
        <v>0</v>
      </c>
      <c r="N1202" s="1098"/>
      <c r="O1202" s="1098"/>
      <c r="P1202" s="1098"/>
      <c r="Q1202" s="1098"/>
      <c r="R1202" s="1098">
        <f>+(M1202/'Parametros Generales'!$C$9)</f>
        <v>0</v>
      </c>
      <c r="S1202" s="395"/>
      <c r="T1202" s="395"/>
      <c r="U1202" s="395"/>
      <c r="V1202" s="396"/>
      <c r="W1202" s="376">
        <f>+R1202*'Componentes T.H.'!$Q$9*'Parametros Generales'!$C$6</f>
        <v>0</v>
      </c>
      <c r="X1202" s="376">
        <f>(+VLOOKUP(C1202,'Transporte y Viaticos'!$B$87:$L$120,2,0)*'Parametros Generales'!$C$7*R1202)*(2/3)</f>
        <v>0</v>
      </c>
      <c r="Y1202" s="417"/>
      <c r="Z1202" s="417"/>
      <c r="AA1202" s="417"/>
      <c r="AB1202" s="417">
        <f>+M1202*'Parametros Generales'!$C$6*'Parametros Generales'!$J$9</f>
        <v>0</v>
      </c>
      <c r="AC1202" s="417">
        <f>+H1202*'Parametros Generales'!$J$10*'Parametros Generales'!$C$6*'Parametros Generales'!$C$11</f>
        <v>0</v>
      </c>
      <c r="AD1202" s="417"/>
      <c r="AE1202" s="417"/>
      <c r="AF1202" s="417"/>
      <c r="AG1202" s="417"/>
      <c r="AH1202" s="417"/>
      <c r="AI1202" s="417"/>
      <c r="AJ1202" s="417"/>
      <c r="AK1202" s="436"/>
      <c r="AL1202" s="822"/>
    </row>
    <row r="1203" spans="1:38" s="33" customFormat="1" hidden="1" outlineLevel="1">
      <c r="A1203" s="1150"/>
      <c r="B1203" s="823">
        <f t="shared" si="101"/>
        <v>91</v>
      </c>
      <c r="C1203" s="373" t="str">
        <f t="shared" si="102"/>
        <v>AMAZONAS</v>
      </c>
      <c r="D1203" s="374"/>
      <c r="E1203" s="1113"/>
      <c r="F1203" s="1104"/>
      <c r="G1203" s="375"/>
      <c r="H1203" s="1062"/>
      <c r="I1203" s="1057"/>
      <c r="J1203" s="1058"/>
      <c r="K1203" s="1070" t="str">
        <f t="shared" si="94"/>
        <v>Ok</v>
      </c>
      <c r="L1203" s="1077">
        <f t="shared" si="95"/>
        <v>0</v>
      </c>
      <c r="M1203" s="1091">
        <f>+H1203/'Parametros Generales'!$C$8</f>
        <v>0</v>
      </c>
      <c r="N1203" s="1098"/>
      <c r="O1203" s="1098"/>
      <c r="P1203" s="1098"/>
      <c r="Q1203" s="1098"/>
      <c r="R1203" s="1098">
        <f>+(M1203/'Parametros Generales'!$C$9)</f>
        <v>0</v>
      </c>
      <c r="S1203" s="395"/>
      <c r="T1203" s="395"/>
      <c r="U1203" s="395"/>
      <c r="V1203" s="396"/>
      <c r="W1203" s="376">
        <f>+R1203*'Componentes T.H.'!$Q$9*'Parametros Generales'!$C$6</f>
        <v>0</v>
      </c>
      <c r="X1203" s="376">
        <f>(+VLOOKUP(C1203,'Transporte y Viaticos'!$B$87:$L$120,2,0)*'Parametros Generales'!$C$7*R1203)*(2/3)</f>
        <v>0</v>
      </c>
      <c r="Y1203" s="417"/>
      <c r="Z1203" s="417"/>
      <c r="AA1203" s="417"/>
      <c r="AB1203" s="417">
        <f>+M1203*'Parametros Generales'!$C$6*'Parametros Generales'!$J$9</f>
        <v>0</v>
      </c>
      <c r="AC1203" s="417">
        <f>+H1203*'Parametros Generales'!$J$10*'Parametros Generales'!$C$6*'Parametros Generales'!$C$11</f>
        <v>0</v>
      </c>
      <c r="AD1203" s="417"/>
      <c r="AE1203" s="417"/>
      <c r="AF1203" s="417"/>
      <c r="AG1203" s="417"/>
      <c r="AH1203" s="417"/>
      <c r="AI1203" s="417"/>
      <c r="AJ1203" s="417"/>
      <c r="AK1203" s="436"/>
      <c r="AL1203" s="822"/>
    </row>
    <row r="1204" spans="1:38" s="392" customFormat="1" collapsed="1">
      <c r="A1204" s="1151">
        <v>31</v>
      </c>
      <c r="B1204" s="824">
        <v>94</v>
      </c>
      <c r="C1204" s="385" t="s">
        <v>2322</v>
      </c>
      <c r="D1204" s="386"/>
      <c r="E1204" s="1114" t="s">
        <v>741</v>
      </c>
      <c r="F1204" s="1105">
        <f>SUM(F1205:F1217)</f>
        <v>2</v>
      </c>
      <c r="G1204" s="388">
        <f>+SUM(G1205:G1206)</f>
        <v>330</v>
      </c>
      <c r="H1204" s="512">
        <f>+SUM(H1205:H1217)</f>
        <v>400</v>
      </c>
      <c r="I1204" s="1057" t="s">
        <v>741</v>
      </c>
      <c r="J1204" s="1067">
        <v>400</v>
      </c>
      <c r="K1204" s="1069" t="str">
        <f t="shared" si="94"/>
        <v>Ok</v>
      </c>
      <c r="L1204" s="1077">
        <f t="shared" si="95"/>
        <v>0</v>
      </c>
      <c r="M1204" s="512">
        <f>+SUM(M1205:M1217)</f>
        <v>16</v>
      </c>
      <c r="N1204" s="1073">
        <f>+VLOOKUP(H1204,'Parametros Generales'!$B$14:$D$17,3,TRUE)</f>
        <v>0.4</v>
      </c>
      <c r="O1204" s="1073">
        <f>+VLOOKUP(H1204,'Parametros Generales'!$B$14:$D$17,3,TRUE)</f>
        <v>0.4</v>
      </c>
      <c r="P1204" s="1073">
        <f>+VLOOKUP(H1204,'Parametros Generales'!$B$14:$D$17,3,TRUE)</f>
        <v>0.4</v>
      </c>
      <c r="Q1204" s="1073">
        <f>+R1204/'Parametros Generales'!$C$10</f>
        <v>0.5</v>
      </c>
      <c r="R1204" s="512">
        <f>+SUM(R1205:R1217)</f>
        <v>4</v>
      </c>
      <c r="S1204" s="390">
        <f>+VLOOKUP(S$1,'Componentes T.H.'!$B$4:$R$22,'Componentes T.H.'!$Q$1,0)*'Parametros Generales'!$C$6*'Cost x Depart'!N1204</f>
        <v>5862705.6550666681</v>
      </c>
      <c r="T1204" s="390">
        <f>+VLOOKUP(T$1,'Componentes T.H.'!$B$4:$R$22,'Componentes T.H.'!$Q$1,0)*'Parametros Generales'!$C$6*'Cost x Depart'!O1204</f>
        <v>4417526.2636000002</v>
      </c>
      <c r="U1204" s="390">
        <f>+VLOOKUP(U$1,'Componentes T.H.'!$B$4:$R$22,'Componentes T.H.'!$Q$1,0)*'Parametros Generales'!$C$6*'Cost x Depart'!P1204</f>
        <v>1956172.8</v>
      </c>
      <c r="V1204" s="389">
        <f>+VLOOKUP(V$1,'Componentes T.H.'!$B$4:$R$22,'Componentes T.H.'!$Q$1,0)*'Parametros Generales'!$C$6*'Cost x Depart'!Q1204</f>
        <v>4995523.7671666667</v>
      </c>
      <c r="W1204" s="512">
        <f>+SUM(W1205:W1217)</f>
        <v>20074028.284000002</v>
      </c>
      <c r="X1204" s="512">
        <f>+SUM(X1205:X1217)</f>
        <v>1167542.3124670447</v>
      </c>
      <c r="Y1204" s="391">
        <f>+VLOOKUP(C1205,'Transporte y Viaticos'!$B$87:$F$120,2,0)*((O1204/'Parametros Generales'!$J$14)+(Q1204/'Parametros Generales'!$J$15)+(R1204/'Parametros Generales'!$J$16))*'Parametros Generales'!$C$6</f>
        <v>63485.113240395549</v>
      </c>
      <c r="Z1204" s="391">
        <f>+(N1204+O1204+Q1204)*'Parametros Generales'!$C$6*'Parametros Generales'!$J$7</f>
        <v>255606</v>
      </c>
      <c r="AA1204" s="391">
        <f>+SUM(N1204:R1204)*'Parametros Generales'!$C$6*'Parametros Generales'!$J$8</f>
        <v>1023150</v>
      </c>
      <c r="AB1204" s="512">
        <f>+SUM(AB1205:AB1217)</f>
        <v>7790545.4545454569</v>
      </c>
      <c r="AC1204" s="512">
        <f>+SUM(AC1205:AC1217)</f>
        <v>29476997.534803256</v>
      </c>
      <c r="AD1204" s="391">
        <f>+'Parametros Generales'!$J$11*SUM(N1204:R1204)</f>
        <v>191748</v>
      </c>
      <c r="AE1204" s="436">
        <f>+SUM(S1204:AD1204)</f>
        <v>77275031.184889495</v>
      </c>
      <c r="AF1204" s="391">
        <f>+AE1204*(SUM('Res de Costos Pais'!G117:G117))</f>
        <v>5293339.6361649306</v>
      </c>
      <c r="AG1204" s="391">
        <f>+AE1204+AF1204</f>
        <v>82568370.821054429</v>
      </c>
      <c r="AH1204" s="391">
        <f>+AG1204*SUM('Res de Costos Pais'!$G$123:$G$124)</f>
        <v>797610.46213138581</v>
      </c>
      <c r="AI1204" s="391">
        <f>+(AG1204+AH1204)*'Res de Costos Pais'!$G$136</f>
        <v>225088.14946460171</v>
      </c>
      <c r="AJ1204" s="391">
        <f>+(AG1204+AH1204+AI1204)*'Res de Costos Pais'!$G$140</f>
        <v>334364.27773060167</v>
      </c>
      <c r="AK1204" s="391">
        <f>+AG1204+AH1204+AI1204+AJ1204</f>
        <v>83925433.710381016</v>
      </c>
      <c r="AL1204" s="820">
        <f>IF(ISERROR((+(AK1204/H1204)/'Parametros Generales'!$C$6)),0,(+(AK1204/H1204)/'Parametros Generales'!$C$6))</f>
        <v>41962.716855190505</v>
      </c>
    </row>
    <row r="1205" spans="1:38" s="33" customFormat="1" hidden="1" outlineLevel="1">
      <c r="A1205" s="1150"/>
      <c r="B1205" s="819">
        <v>94</v>
      </c>
      <c r="C1205" s="377" t="s">
        <v>2322</v>
      </c>
      <c r="D1205" s="378">
        <f>+VLOOKUP(E1205,Codigos!$A$1:$B$1123,2,0)</f>
        <v>94001</v>
      </c>
      <c r="E1205" s="1110" t="s">
        <v>2310</v>
      </c>
      <c r="F1205" s="1102">
        <v>1</v>
      </c>
      <c r="G1205" s="379">
        <v>198</v>
      </c>
      <c r="H1205" s="1060">
        <f>CEILING((G1205+50),'Parametros Generales'!$C$8)</f>
        <v>250</v>
      </c>
      <c r="I1205" s="1057" t="s">
        <v>742</v>
      </c>
      <c r="J1205" s="1058">
        <v>250</v>
      </c>
      <c r="K1205" s="1070" t="str">
        <f t="shared" si="94"/>
        <v>Ok</v>
      </c>
      <c r="L1205" s="1077">
        <f t="shared" si="95"/>
        <v>0</v>
      </c>
      <c r="M1205" s="1089">
        <f>+H1205/'Parametros Generales'!$C$8</f>
        <v>10</v>
      </c>
      <c r="N1205" s="1096"/>
      <c r="O1205" s="1096"/>
      <c r="P1205" s="1096"/>
      <c r="Q1205" s="1096"/>
      <c r="R1205" s="1096">
        <f>+(M1205/'Parametros Generales'!$C$9)</f>
        <v>2.5</v>
      </c>
      <c r="S1205" s="393"/>
      <c r="T1205" s="393"/>
      <c r="U1205" s="393"/>
      <c r="V1205" s="394"/>
      <c r="W1205" s="380">
        <f>+R1205*'Componentes T.H.'!$Q$9*'Parametros Generales'!$C$6</f>
        <v>12546267.677500002</v>
      </c>
      <c r="X1205" s="380">
        <f>(+VLOOKUP(C1205,'Transporte y Viaticos'!$B$87:$L$120,2,0)*'Parametros Generales'!$C$7*R1205)*(2/3)</f>
        <v>729713.94529190287</v>
      </c>
      <c r="Y1205" s="417"/>
      <c r="Z1205" s="417"/>
      <c r="AA1205" s="417"/>
      <c r="AB1205" s="417">
        <f>+M1205*'Parametros Generales'!$C$6*'Parametros Generales'!$J$9</f>
        <v>4869090.9090909101</v>
      </c>
      <c r="AC1205" s="417">
        <f>+H1205*'Parametros Generales'!$J$10*'Parametros Generales'!$C$6*'Parametros Generales'!$C$11</f>
        <v>18423123.459252033</v>
      </c>
      <c r="AD1205" s="417"/>
      <c r="AE1205" s="417"/>
      <c r="AF1205" s="417"/>
      <c r="AG1205" s="417"/>
      <c r="AH1205" s="417"/>
      <c r="AI1205" s="417"/>
      <c r="AJ1205" s="417"/>
      <c r="AK1205" s="436"/>
      <c r="AL1205" s="822"/>
    </row>
    <row r="1206" spans="1:38" s="33" customFormat="1" hidden="1" outlineLevel="1">
      <c r="A1206" s="1150"/>
      <c r="B1206" s="823">
        <v>94</v>
      </c>
      <c r="C1206" s="373" t="s">
        <v>2322</v>
      </c>
      <c r="D1206" s="374">
        <f>+VLOOKUP(E1206,Codigos!$A$1:$B$1123,2,0)</f>
        <v>94343</v>
      </c>
      <c r="E1206" s="1113" t="s">
        <v>2311</v>
      </c>
      <c r="F1206" s="1104">
        <v>1</v>
      </c>
      <c r="G1206" s="375">
        <v>132</v>
      </c>
      <c r="H1206" s="1062">
        <f>CEILING((G1206+50-50),'Parametros Generales'!$C$8)</f>
        <v>150</v>
      </c>
      <c r="I1206" s="1057" t="s">
        <v>743</v>
      </c>
      <c r="J1206" s="1058">
        <v>150</v>
      </c>
      <c r="K1206" s="1070" t="str">
        <f t="shared" si="94"/>
        <v>Ok</v>
      </c>
      <c r="L1206" s="1077">
        <f t="shared" si="95"/>
        <v>0</v>
      </c>
      <c r="M1206" s="1091">
        <f>+H1206/'Parametros Generales'!$C$8</f>
        <v>6</v>
      </c>
      <c r="N1206" s="1098"/>
      <c r="O1206" s="1098"/>
      <c r="P1206" s="1098"/>
      <c r="Q1206" s="1098"/>
      <c r="R1206" s="1098">
        <f>+(M1206/'Parametros Generales'!$C$9)</f>
        <v>1.5</v>
      </c>
      <c r="S1206" s="395"/>
      <c r="T1206" s="395"/>
      <c r="U1206" s="395"/>
      <c r="V1206" s="396"/>
      <c r="W1206" s="376">
        <f>+R1206*'Componentes T.H.'!$Q$9*'Parametros Generales'!$C$6</f>
        <v>7527760.6064999998</v>
      </c>
      <c r="X1206" s="376">
        <f>(+VLOOKUP(C1206,'Transporte y Viaticos'!$B$87:$L$120,2,0)*'Parametros Generales'!$C$7*R1206)*(2/3)</f>
        <v>437828.3671751417</v>
      </c>
      <c r="Y1206" s="417"/>
      <c r="Z1206" s="417"/>
      <c r="AA1206" s="417"/>
      <c r="AB1206" s="417">
        <f>+M1206*'Parametros Generales'!$C$6*'Parametros Generales'!$J$9</f>
        <v>2921454.5454545463</v>
      </c>
      <c r="AC1206" s="417">
        <f>+H1206*'Parametros Generales'!$J$10*'Parametros Generales'!$C$6*'Parametros Generales'!$C$11</f>
        <v>11053874.075551221</v>
      </c>
      <c r="AD1206" s="417"/>
      <c r="AE1206" s="417"/>
      <c r="AF1206" s="417"/>
      <c r="AG1206" s="417"/>
      <c r="AH1206" s="417"/>
      <c r="AI1206" s="417"/>
      <c r="AJ1206" s="417"/>
      <c r="AK1206" s="436"/>
      <c r="AL1206" s="822"/>
    </row>
    <row r="1207" spans="1:38" s="33" customFormat="1" hidden="1" outlineLevel="1">
      <c r="A1207" s="1150"/>
      <c r="B1207" s="823">
        <f t="shared" ref="B1207:B1217" si="103">+B1206</f>
        <v>94</v>
      </c>
      <c r="C1207" s="373" t="str">
        <f t="shared" ref="C1207:C1217" si="104">+C1206</f>
        <v>GUAINÍA</v>
      </c>
      <c r="D1207" s="374"/>
      <c r="E1207" s="1113"/>
      <c r="F1207" s="1104"/>
      <c r="G1207" s="375"/>
      <c r="H1207" s="1062"/>
      <c r="I1207" s="1057"/>
      <c r="J1207" s="1058"/>
      <c r="K1207" s="1070" t="str">
        <f t="shared" si="94"/>
        <v>Ok</v>
      </c>
      <c r="L1207" s="1076">
        <f t="shared" si="95"/>
        <v>0</v>
      </c>
      <c r="M1207" s="1091">
        <f>+H1207/'Parametros Generales'!$C$8</f>
        <v>0</v>
      </c>
      <c r="N1207" s="1098"/>
      <c r="O1207" s="1098"/>
      <c r="P1207" s="1098"/>
      <c r="Q1207" s="1098"/>
      <c r="R1207" s="1098">
        <f>+(M1207/'Parametros Generales'!$C$9)</f>
        <v>0</v>
      </c>
      <c r="S1207" s="395"/>
      <c r="T1207" s="395"/>
      <c r="U1207" s="395"/>
      <c r="V1207" s="396"/>
      <c r="W1207" s="376">
        <f>+R1207*'Componentes T.H.'!$Q$9*'Parametros Generales'!$C$6</f>
        <v>0</v>
      </c>
      <c r="X1207" s="376">
        <f>(+VLOOKUP(C1207,'Transporte y Viaticos'!$B$87:$L$120,2,0)*'Parametros Generales'!$C$7*R1207)*(2/3)</f>
        <v>0</v>
      </c>
      <c r="Y1207" s="417"/>
      <c r="Z1207" s="417"/>
      <c r="AA1207" s="417"/>
      <c r="AB1207" s="417">
        <f>+M1207*'Parametros Generales'!$C$6*'Parametros Generales'!$J$9</f>
        <v>0</v>
      </c>
      <c r="AC1207" s="417">
        <f>+H1207*'Parametros Generales'!$J$10*'Parametros Generales'!$C$6*'Parametros Generales'!$C$11</f>
        <v>0</v>
      </c>
      <c r="AD1207" s="417"/>
      <c r="AE1207" s="417"/>
      <c r="AF1207" s="417"/>
      <c r="AG1207" s="417"/>
      <c r="AH1207" s="417"/>
      <c r="AI1207" s="417"/>
      <c r="AJ1207" s="417"/>
      <c r="AK1207" s="436"/>
      <c r="AL1207" s="822"/>
    </row>
    <row r="1208" spans="1:38" s="33" customFormat="1" hidden="1" outlineLevel="1">
      <c r="A1208" s="1150"/>
      <c r="B1208" s="823">
        <f t="shared" si="103"/>
        <v>94</v>
      </c>
      <c r="C1208" s="373" t="str">
        <f t="shared" si="104"/>
        <v>GUAINÍA</v>
      </c>
      <c r="D1208" s="374"/>
      <c r="E1208" s="1113"/>
      <c r="F1208" s="1104"/>
      <c r="G1208" s="375"/>
      <c r="H1208" s="1062"/>
      <c r="I1208" s="1057"/>
      <c r="J1208" s="1058"/>
      <c r="K1208" s="1070" t="str">
        <f t="shared" si="94"/>
        <v>Ok</v>
      </c>
      <c r="L1208" s="1077">
        <f t="shared" si="95"/>
        <v>0</v>
      </c>
      <c r="M1208" s="1091">
        <f>+H1208/'Parametros Generales'!$C$8</f>
        <v>0</v>
      </c>
      <c r="N1208" s="1098"/>
      <c r="O1208" s="1098"/>
      <c r="P1208" s="1098"/>
      <c r="Q1208" s="1098"/>
      <c r="R1208" s="1098">
        <f>+(M1208/'Parametros Generales'!$C$9)</f>
        <v>0</v>
      </c>
      <c r="S1208" s="395"/>
      <c r="T1208" s="395"/>
      <c r="U1208" s="395"/>
      <c r="V1208" s="396"/>
      <c r="W1208" s="376">
        <f>+R1208*'Componentes T.H.'!$Q$9*'Parametros Generales'!$C$6</f>
        <v>0</v>
      </c>
      <c r="X1208" s="376">
        <f>(+VLOOKUP(C1208,'Transporte y Viaticos'!$B$87:$L$120,2,0)*'Parametros Generales'!$C$7*R1208)*(2/3)</f>
        <v>0</v>
      </c>
      <c r="Y1208" s="417"/>
      <c r="Z1208" s="417"/>
      <c r="AA1208" s="417"/>
      <c r="AB1208" s="417">
        <f>+M1208*'Parametros Generales'!$C$6*'Parametros Generales'!$J$9</f>
        <v>0</v>
      </c>
      <c r="AC1208" s="417">
        <f>+H1208*'Parametros Generales'!$J$10*'Parametros Generales'!$C$6*'Parametros Generales'!$C$11</f>
        <v>0</v>
      </c>
      <c r="AD1208" s="417"/>
      <c r="AE1208" s="417"/>
      <c r="AF1208" s="417"/>
      <c r="AG1208" s="417"/>
      <c r="AH1208" s="417"/>
      <c r="AI1208" s="417"/>
      <c r="AJ1208" s="417"/>
      <c r="AK1208" s="436"/>
      <c r="AL1208" s="822"/>
    </row>
    <row r="1209" spans="1:38" s="33" customFormat="1" hidden="1" outlineLevel="1">
      <c r="A1209" s="1150"/>
      <c r="B1209" s="823">
        <f t="shared" si="103"/>
        <v>94</v>
      </c>
      <c r="C1209" s="373" t="str">
        <f t="shared" si="104"/>
        <v>GUAINÍA</v>
      </c>
      <c r="D1209" s="374"/>
      <c r="E1209" s="1113"/>
      <c r="F1209" s="1104"/>
      <c r="G1209" s="375"/>
      <c r="H1209" s="1062"/>
      <c r="I1209" s="1057"/>
      <c r="J1209" s="1058"/>
      <c r="K1209" s="1070" t="str">
        <f t="shared" si="94"/>
        <v>Ok</v>
      </c>
      <c r="L1209" s="1077">
        <f t="shared" si="95"/>
        <v>0</v>
      </c>
      <c r="M1209" s="1091">
        <f>+H1209/'Parametros Generales'!$C$8</f>
        <v>0</v>
      </c>
      <c r="N1209" s="1098"/>
      <c r="O1209" s="1098"/>
      <c r="P1209" s="1098"/>
      <c r="Q1209" s="1098"/>
      <c r="R1209" s="1098">
        <f>+(M1209/'Parametros Generales'!$C$9)</f>
        <v>0</v>
      </c>
      <c r="S1209" s="395"/>
      <c r="T1209" s="395"/>
      <c r="U1209" s="395"/>
      <c r="V1209" s="396"/>
      <c r="W1209" s="376">
        <f>+R1209*'Componentes T.H.'!$Q$9*'Parametros Generales'!$C$6</f>
        <v>0</v>
      </c>
      <c r="X1209" s="376">
        <f>(+VLOOKUP(C1209,'Transporte y Viaticos'!$B$87:$L$120,2,0)*'Parametros Generales'!$C$7*R1209)*(2/3)</f>
        <v>0</v>
      </c>
      <c r="Y1209" s="417"/>
      <c r="Z1209" s="417"/>
      <c r="AA1209" s="417"/>
      <c r="AB1209" s="417">
        <f>+M1209*'Parametros Generales'!$C$6*'Parametros Generales'!$J$9</f>
        <v>0</v>
      </c>
      <c r="AC1209" s="417">
        <f>+H1209*'Parametros Generales'!$J$10*'Parametros Generales'!$C$6*'Parametros Generales'!$C$11</f>
        <v>0</v>
      </c>
      <c r="AD1209" s="417"/>
      <c r="AE1209" s="417"/>
      <c r="AF1209" s="417"/>
      <c r="AG1209" s="417"/>
      <c r="AH1209" s="417"/>
      <c r="AI1209" s="417"/>
      <c r="AJ1209" s="417"/>
      <c r="AK1209" s="436"/>
      <c r="AL1209" s="822"/>
    </row>
    <row r="1210" spans="1:38" s="33" customFormat="1" hidden="1" outlineLevel="1">
      <c r="A1210" s="1150"/>
      <c r="B1210" s="823">
        <f t="shared" si="103"/>
        <v>94</v>
      </c>
      <c r="C1210" s="373" t="str">
        <f t="shared" si="104"/>
        <v>GUAINÍA</v>
      </c>
      <c r="D1210" s="374"/>
      <c r="E1210" s="1113"/>
      <c r="F1210" s="1104"/>
      <c r="G1210" s="375"/>
      <c r="H1210" s="1062"/>
      <c r="I1210" s="1057"/>
      <c r="J1210" s="1058"/>
      <c r="K1210" s="1070" t="str">
        <f t="shared" si="94"/>
        <v>Ok</v>
      </c>
      <c r="L1210" s="1077">
        <f t="shared" si="95"/>
        <v>0</v>
      </c>
      <c r="M1210" s="1091">
        <f>+H1210/'Parametros Generales'!$C$8</f>
        <v>0</v>
      </c>
      <c r="N1210" s="1098"/>
      <c r="O1210" s="1098"/>
      <c r="P1210" s="1098"/>
      <c r="Q1210" s="1098"/>
      <c r="R1210" s="1098">
        <f>+(M1210/'Parametros Generales'!$C$9)</f>
        <v>0</v>
      </c>
      <c r="S1210" s="395"/>
      <c r="T1210" s="395"/>
      <c r="U1210" s="395"/>
      <c r="V1210" s="396"/>
      <c r="W1210" s="376">
        <f>+R1210*'Componentes T.H.'!$Q$9*'Parametros Generales'!$C$6</f>
        <v>0</v>
      </c>
      <c r="X1210" s="376">
        <f>(+VLOOKUP(C1210,'Transporte y Viaticos'!$B$87:$L$120,2,0)*'Parametros Generales'!$C$7*R1210)*(2/3)</f>
        <v>0</v>
      </c>
      <c r="Y1210" s="417"/>
      <c r="Z1210" s="417"/>
      <c r="AA1210" s="417"/>
      <c r="AB1210" s="417">
        <f>+M1210*'Parametros Generales'!$C$6*'Parametros Generales'!$J$9</f>
        <v>0</v>
      </c>
      <c r="AC1210" s="417">
        <f>+H1210*'Parametros Generales'!$J$10*'Parametros Generales'!$C$6*'Parametros Generales'!$C$11</f>
        <v>0</v>
      </c>
      <c r="AD1210" s="417"/>
      <c r="AE1210" s="417"/>
      <c r="AF1210" s="417"/>
      <c r="AG1210" s="417"/>
      <c r="AH1210" s="417"/>
      <c r="AI1210" s="417"/>
      <c r="AJ1210" s="417"/>
      <c r="AK1210" s="436"/>
      <c r="AL1210" s="822"/>
    </row>
    <row r="1211" spans="1:38" s="33" customFormat="1" hidden="1" outlineLevel="1">
      <c r="A1211" s="1150"/>
      <c r="B1211" s="823">
        <f t="shared" si="103"/>
        <v>94</v>
      </c>
      <c r="C1211" s="373" t="str">
        <f t="shared" si="104"/>
        <v>GUAINÍA</v>
      </c>
      <c r="D1211" s="374"/>
      <c r="E1211" s="1113"/>
      <c r="F1211" s="1104"/>
      <c r="G1211" s="375"/>
      <c r="H1211" s="1062"/>
      <c r="I1211" s="1057"/>
      <c r="J1211" s="1058"/>
      <c r="K1211" s="1070" t="str">
        <f t="shared" si="94"/>
        <v>Ok</v>
      </c>
      <c r="L1211" s="1077">
        <f t="shared" si="95"/>
        <v>0</v>
      </c>
      <c r="M1211" s="1091">
        <f>+H1211/'Parametros Generales'!$C$8</f>
        <v>0</v>
      </c>
      <c r="N1211" s="1098"/>
      <c r="O1211" s="1098"/>
      <c r="P1211" s="1098"/>
      <c r="Q1211" s="1098"/>
      <c r="R1211" s="1098">
        <f>+(M1211/'Parametros Generales'!$C$9)</f>
        <v>0</v>
      </c>
      <c r="S1211" s="395"/>
      <c r="T1211" s="395"/>
      <c r="U1211" s="395"/>
      <c r="V1211" s="396"/>
      <c r="W1211" s="376">
        <f>+R1211*'Componentes T.H.'!$Q$9*'Parametros Generales'!$C$6</f>
        <v>0</v>
      </c>
      <c r="X1211" s="376">
        <f>(+VLOOKUP(C1211,'Transporte y Viaticos'!$B$87:$L$120,2,0)*'Parametros Generales'!$C$7*R1211)*(2/3)</f>
        <v>0</v>
      </c>
      <c r="Y1211" s="417"/>
      <c r="Z1211" s="417"/>
      <c r="AA1211" s="417"/>
      <c r="AB1211" s="417">
        <f>+M1211*'Parametros Generales'!$C$6*'Parametros Generales'!$J$9</f>
        <v>0</v>
      </c>
      <c r="AC1211" s="417">
        <f>+H1211*'Parametros Generales'!$J$10*'Parametros Generales'!$C$6*'Parametros Generales'!$C$11</f>
        <v>0</v>
      </c>
      <c r="AD1211" s="417"/>
      <c r="AE1211" s="417"/>
      <c r="AF1211" s="417"/>
      <c r="AG1211" s="417"/>
      <c r="AH1211" s="417"/>
      <c r="AI1211" s="417"/>
      <c r="AJ1211" s="417"/>
      <c r="AK1211" s="436"/>
      <c r="AL1211" s="822"/>
    </row>
    <row r="1212" spans="1:38" s="33" customFormat="1" hidden="1" outlineLevel="1">
      <c r="A1212" s="1150"/>
      <c r="B1212" s="823">
        <f t="shared" si="103"/>
        <v>94</v>
      </c>
      <c r="C1212" s="373" t="str">
        <f t="shared" si="104"/>
        <v>GUAINÍA</v>
      </c>
      <c r="D1212" s="374"/>
      <c r="E1212" s="1113"/>
      <c r="F1212" s="1104"/>
      <c r="G1212" s="375"/>
      <c r="H1212" s="1062"/>
      <c r="I1212" s="1057"/>
      <c r="J1212" s="1058"/>
      <c r="K1212" s="1070" t="str">
        <f t="shared" si="94"/>
        <v>Ok</v>
      </c>
      <c r="L1212" s="1077">
        <f t="shared" si="95"/>
        <v>0</v>
      </c>
      <c r="M1212" s="1091">
        <f>+H1212/'Parametros Generales'!$C$8</f>
        <v>0</v>
      </c>
      <c r="N1212" s="1098"/>
      <c r="O1212" s="1098"/>
      <c r="P1212" s="1098"/>
      <c r="Q1212" s="1098"/>
      <c r="R1212" s="1098">
        <f>+(M1212/'Parametros Generales'!$C$9)</f>
        <v>0</v>
      </c>
      <c r="S1212" s="395"/>
      <c r="T1212" s="395"/>
      <c r="U1212" s="395"/>
      <c r="V1212" s="396"/>
      <c r="W1212" s="376">
        <f>+R1212*'Componentes T.H.'!$Q$9*'Parametros Generales'!$C$6</f>
        <v>0</v>
      </c>
      <c r="X1212" s="376">
        <f>(+VLOOKUP(C1212,'Transporte y Viaticos'!$B$87:$L$120,2,0)*'Parametros Generales'!$C$7*R1212)*(2/3)</f>
        <v>0</v>
      </c>
      <c r="Y1212" s="417"/>
      <c r="Z1212" s="417"/>
      <c r="AA1212" s="417"/>
      <c r="AB1212" s="417">
        <f>+M1212*'Parametros Generales'!$C$6*'Parametros Generales'!$J$9</f>
        <v>0</v>
      </c>
      <c r="AC1212" s="417">
        <f>+H1212*'Parametros Generales'!$J$10*'Parametros Generales'!$C$6*'Parametros Generales'!$C$11</f>
        <v>0</v>
      </c>
      <c r="AD1212" s="417"/>
      <c r="AE1212" s="417"/>
      <c r="AF1212" s="417"/>
      <c r="AG1212" s="417"/>
      <c r="AH1212" s="417"/>
      <c r="AI1212" s="417"/>
      <c r="AJ1212" s="417"/>
      <c r="AK1212" s="436"/>
      <c r="AL1212" s="822"/>
    </row>
    <row r="1213" spans="1:38" s="33" customFormat="1" hidden="1" outlineLevel="1">
      <c r="A1213" s="1150"/>
      <c r="B1213" s="823">
        <f t="shared" si="103"/>
        <v>94</v>
      </c>
      <c r="C1213" s="373" t="str">
        <f t="shared" si="104"/>
        <v>GUAINÍA</v>
      </c>
      <c r="D1213" s="374"/>
      <c r="E1213" s="1113"/>
      <c r="F1213" s="1104"/>
      <c r="G1213" s="375"/>
      <c r="H1213" s="1062"/>
      <c r="I1213" s="1057"/>
      <c r="J1213" s="1058"/>
      <c r="K1213" s="1070" t="str">
        <f t="shared" si="94"/>
        <v>Ok</v>
      </c>
      <c r="L1213" s="1077">
        <f t="shared" si="95"/>
        <v>0</v>
      </c>
      <c r="M1213" s="1091">
        <f>+H1213/'Parametros Generales'!$C$8</f>
        <v>0</v>
      </c>
      <c r="N1213" s="1098"/>
      <c r="O1213" s="1098"/>
      <c r="P1213" s="1098"/>
      <c r="Q1213" s="1098"/>
      <c r="R1213" s="1098">
        <f>+(M1213/'Parametros Generales'!$C$9)</f>
        <v>0</v>
      </c>
      <c r="S1213" s="395"/>
      <c r="T1213" s="395"/>
      <c r="U1213" s="395"/>
      <c r="V1213" s="396"/>
      <c r="W1213" s="376">
        <f>+R1213*'Componentes T.H.'!$Q$9*'Parametros Generales'!$C$6</f>
        <v>0</v>
      </c>
      <c r="X1213" s="376">
        <f>(+VLOOKUP(C1213,'Transporte y Viaticos'!$B$87:$L$120,2,0)*'Parametros Generales'!$C$7*R1213)*(2/3)</f>
        <v>0</v>
      </c>
      <c r="Y1213" s="417"/>
      <c r="Z1213" s="417"/>
      <c r="AA1213" s="417"/>
      <c r="AB1213" s="417">
        <f>+M1213*'Parametros Generales'!$C$6*'Parametros Generales'!$J$9</f>
        <v>0</v>
      </c>
      <c r="AC1213" s="417">
        <f>+H1213*'Parametros Generales'!$J$10*'Parametros Generales'!$C$6*'Parametros Generales'!$C$11</f>
        <v>0</v>
      </c>
      <c r="AD1213" s="417"/>
      <c r="AE1213" s="417"/>
      <c r="AF1213" s="417"/>
      <c r="AG1213" s="417"/>
      <c r="AH1213" s="417"/>
      <c r="AI1213" s="417"/>
      <c r="AJ1213" s="417"/>
      <c r="AK1213" s="436"/>
      <c r="AL1213" s="822"/>
    </row>
    <row r="1214" spans="1:38" s="33" customFormat="1" hidden="1" outlineLevel="1">
      <c r="A1214" s="1150"/>
      <c r="B1214" s="823">
        <f t="shared" si="103"/>
        <v>94</v>
      </c>
      <c r="C1214" s="373" t="str">
        <f t="shared" si="104"/>
        <v>GUAINÍA</v>
      </c>
      <c r="D1214" s="374"/>
      <c r="E1214" s="1113"/>
      <c r="F1214" s="1104"/>
      <c r="G1214" s="375"/>
      <c r="H1214" s="1062"/>
      <c r="I1214" s="1057"/>
      <c r="J1214" s="1058"/>
      <c r="K1214" s="1070" t="str">
        <f t="shared" si="94"/>
        <v>Ok</v>
      </c>
      <c r="L1214" s="1077">
        <f t="shared" si="95"/>
        <v>0</v>
      </c>
      <c r="M1214" s="1091">
        <f>+H1214/'Parametros Generales'!$C$8</f>
        <v>0</v>
      </c>
      <c r="N1214" s="1098"/>
      <c r="O1214" s="1098"/>
      <c r="P1214" s="1098"/>
      <c r="Q1214" s="1098"/>
      <c r="R1214" s="1098">
        <f>+(M1214/'Parametros Generales'!$C$9)</f>
        <v>0</v>
      </c>
      <c r="S1214" s="395"/>
      <c r="T1214" s="395"/>
      <c r="U1214" s="395"/>
      <c r="V1214" s="396"/>
      <c r="W1214" s="376">
        <f>+R1214*'Componentes T.H.'!$Q$9*'Parametros Generales'!$C$6</f>
        <v>0</v>
      </c>
      <c r="X1214" s="376">
        <f>(+VLOOKUP(C1214,'Transporte y Viaticos'!$B$87:$L$120,2,0)*'Parametros Generales'!$C$7*R1214)*(2/3)</f>
        <v>0</v>
      </c>
      <c r="Y1214" s="417"/>
      <c r="Z1214" s="417"/>
      <c r="AA1214" s="417"/>
      <c r="AB1214" s="417">
        <f>+M1214*'Parametros Generales'!$C$6*'Parametros Generales'!$J$9</f>
        <v>0</v>
      </c>
      <c r="AC1214" s="417">
        <f>+H1214*'Parametros Generales'!$J$10*'Parametros Generales'!$C$6*'Parametros Generales'!$C$11</f>
        <v>0</v>
      </c>
      <c r="AD1214" s="417"/>
      <c r="AE1214" s="417"/>
      <c r="AF1214" s="417"/>
      <c r="AG1214" s="417"/>
      <c r="AH1214" s="417"/>
      <c r="AI1214" s="417"/>
      <c r="AJ1214" s="417"/>
      <c r="AK1214" s="436"/>
      <c r="AL1214" s="822"/>
    </row>
    <row r="1215" spans="1:38" s="33" customFormat="1" hidden="1" outlineLevel="1">
      <c r="A1215" s="1150"/>
      <c r="B1215" s="823">
        <f t="shared" si="103"/>
        <v>94</v>
      </c>
      <c r="C1215" s="373" t="str">
        <f t="shared" si="104"/>
        <v>GUAINÍA</v>
      </c>
      <c r="D1215" s="374"/>
      <c r="E1215" s="1113"/>
      <c r="F1215" s="1104"/>
      <c r="G1215" s="375"/>
      <c r="H1215" s="1062"/>
      <c r="I1215" s="1057"/>
      <c r="J1215" s="1058"/>
      <c r="K1215" s="1070" t="str">
        <f t="shared" si="94"/>
        <v>Ok</v>
      </c>
      <c r="L1215" s="1077">
        <f t="shared" si="95"/>
        <v>0</v>
      </c>
      <c r="M1215" s="1091">
        <f>+H1215/'Parametros Generales'!$C$8</f>
        <v>0</v>
      </c>
      <c r="N1215" s="1098"/>
      <c r="O1215" s="1098"/>
      <c r="P1215" s="1098"/>
      <c r="Q1215" s="1098"/>
      <c r="R1215" s="1098">
        <f>+(M1215/'Parametros Generales'!$C$9)</f>
        <v>0</v>
      </c>
      <c r="S1215" s="395"/>
      <c r="T1215" s="395"/>
      <c r="U1215" s="395"/>
      <c r="V1215" s="396"/>
      <c r="W1215" s="376">
        <f>+R1215*'Componentes T.H.'!$Q$9*'Parametros Generales'!$C$6</f>
        <v>0</v>
      </c>
      <c r="X1215" s="376">
        <f>(+VLOOKUP(C1215,'Transporte y Viaticos'!$B$87:$L$120,2,0)*'Parametros Generales'!$C$7*R1215)*(2/3)</f>
        <v>0</v>
      </c>
      <c r="Y1215" s="417"/>
      <c r="Z1215" s="417"/>
      <c r="AA1215" s="417"/>
      <c r="AB1215" s="417">
        <f>+M1215*'Parametros Generales'!$C$6*'Parametros Generales'!$J$9</f>
        <v>0</v>
      </c>
      <c r="AC1215" s="417">
        <f>+H1215*'Parametros Generales'!$J$10*'Parametros Generales'!$C$6*'Parametros Generales'!$C$11</f>
        <v>0</v>
      </c>
      <c r="AD1215" s="417"/>
      <c r="AE1215" s="417"/>
      <c r="AF1215" s="417"/>
      <c r="AG1215" s="417"/>
      <c r="AH1215" s="417"/>
      <c r="AI1215" s="417"/>
      <c r="AJ1215" s="417"/>
      <c r="AK1215" s="436"/>
      <c r="AL1215" s="822"/>
    </row>
    <row r="1216" spans="1:38" s="33" customFormat="1" hidden="1" outlineLevel="1">
      <c r="A1216" s="1150"/>
      <c r="B1216" s="823">
        <f t="shared" si="103"/>
        <v>94</v>
      </c>
      <c r="C1216" s="373" t="str">
        <f t="shared" si="104"/>
        <v>GUAINÍA</v>
      </c>
      <c r="D1216" s="374"/>
      <c r="E1216" s="1113"/>
      <c r="F1216" s="1104"/>
      <c r="G1216" s="375"/>
      <c r="H1216" s="1062"/>
      <c r="I1216" s="1057"/>
      <c r="J1216" s="1058"/>
      <c r="K1216" s="1070" t="str">
        <f t="shared" si="94"/>
        <v>Ok</v>
      </c>
      <c r="L1216" s="1077">
        <f t="shared" si="95"/>
        <v>0</v>
      </c>
      <c r="M1216" s="1091">
        <f>+H1216/'Parametros Generales'!$C$8</f>
        <v>0</v>
      </c>
      <c r="N1216" s="1098"/>
      <c r="O1216" s="1098"/>
      <c r="P1216" s="1098"/>
      <c r="Q1216" s="1098"/>
      <c r="R1216" s="1098">
        <f>+(M1216/'Parametros Generales'!$C$9)</f>
        <v>0</v>
      </c>
      <c r="S1216" s="395"/>
      <c r="T1216" s="395"/>
      <c r="U1216" s="395"/>
      <c r="V1216" s="396"/>
      <c r="W1216" s="376">
        <f>+R1216*'Componentes T.H.'!$Q$9*'Parametros Generales'!$C$6</f>
        <v>0</v>
      </c>
      <c r="X1216" s="376">
        <f>(+VLOOKUP(C1216,'Transporte y Viaticos'!$B$87:$L$120,2,0)*'Parametros Generales'!$C$7*R1216)*(2/3)</f>
        <v>0</v>
      </c>
      <c r="Y1216" s="417"/>
      <c r="Z1216" s="417"/>
      <c r="AA1216" s="417"/>
      <c r="AB1216" s="417">
        <f>+M1216*'Parametros Generales'!$C$6*'Parametros Generales'!$J$9</f>
        <v>0</v>
      </c>
      <c r="AC1216" s="417">
        <f>+H1216*'Parametros Generales'!$J$10*'Parametros Generales'!$C$6*'Parametros Generales'!$C$11</f>
        <v>0</v>
      </c>
      <c r="AD1216" s="417"/>
      <c r="AE1216" s="417"/>
      <c r="AF1216" s="417"/>
      <c r="AG1216" s="417"/>
      <c r="AH1216" s="417"/>
      <c r="AI1216" s="417"/>
      <c r="AJ1216" s="417"/>
      <c r="AK1216" s="436"/>
      <c r="AL1216" s="822"/>
    </row>
    <row r="1217" spans="1:38" s="33" customFormat="1" hidden="1" outlineLevel="1">
      <c r="A1217" s="1150"/>
      <c r="B1217" s="823">
        <f t="shared" si="103"/>
        <v>94</v>
      </c>
      <c r="C1217" s="373" t="str">
        <f t="shared" si="104"/>
        <v>GUAINÍA</v>
      </c>
      <c r="D1217" s="374"/>
      <c r="E1217" s="1113"/>
      <c r="F1217" s="1104"/>
      <c r="G1217" s="375"/>
      <c r="H1217" s="1062"/>
      <c r="I1217" s="1057"/>
      <c r="J1217" s="1058"/>
      <c r="K1217" s="1070" t="str">
        <f t="shared" si="94"/>
        <v>Ok</v>
      </c>
      <c r="L1217" s="1077">
        <f t="shared" si="95"/>
        <v>0</v>
      </c>
      <c r="M1217" s="1091">
        <f>+H1217/'Parametros Generales'!$C$8</f>
        <v>0</v>
      </c>
      <c r="N1217" s="1098"/>
      <c r="O1217" s="1098"/>
      <c r="P1217" s="1098"/>
      <c r="Q1217" s="1098"/>
      <c r="R1217" s="1098">
        <f>+(M1217/'Parametros Generales'!$C$9)</f>
        <v>0</v>
      </c>
      <c r="S1217" s="395"/>
      <c r="T1217" s="395"/>
      <c r="U1217" s="395"/>
      <c r="V1217" s="396"/>
      <c r="W1217" s="376">
        <f>+R1217*'Componentes T.H.'!$Q$9*'Parametros Generales'!$C$6</f>
        <v>0</v>
      </c>
      <c r="X1217" s="376">
        <f>(+VLOOKUP(C1217,'Transporte y Viaticos'!$B$87:$L$120,2,0)*'Parametros Generales'!$C$7*R1217)*(2/3)</f>
        <v>0</v>
      </c>
      <c r="Y1217" s="417"/>
      <c r="Z1217" s="417"/>
      <c r="AA1217" s="417"/>
      <c r="AB1217" s="417">
        <f>+M1217*'Parametros Generales'!$C$6*'Parametros Generales'!$J$9</f>
        <v>0</v>
      </c>
      <c r="AC1217" s="417">
        <f>+H1217*'Parametros Generales'!$J$10*'Parametros Generales'!$C$6*'Parametros Generales'!$C$11</f>
        <v>0</v>
      </c>
      <c r="AD1217" s="417"/>
      <c r="AE1217" s="417"/>
      <c r="AF1217" s="417"/>
      <c r="AG1217" s="417"/>
      <c r="AH1217" s="417"/>
      <c r="AI1217" s="417"/>
      <c r="AJ1217" s="417"/>
      <c r="AK1217" s="436"/>
      <c r="AL1217" s="822"/>
    </row>
    <row r="1218" spans="1:38" s="392" customFormat="1" collapsed="1">
      <c r="A1218" s="1151">
        <v>32</v>
      </c>
      <c r="B1218" s="824">
        <v>95</v>
      </c>
      <c r="C1218" s="385" t="s">
        <v>744</v>
      </c>
      <c r="D1218" s="386"/>
      <c r="E1218" s="1114" t="s">
        <v>744</v>
      </c>
      <c r="F1218" s="1105">
        <f>SUM(F1219:F1232)</f>
        <v>4</v>
      </c>
      <c r="G1218" s="388">
        <f>+SUM(G1219:G1222)</f>
        <v>990</v>
      </c>
      <c r="H1218" s="512">
        <f>+SUM(H1219:H1232)</f>
        <v>1000</v>
      </c>
      <c r="I1218" s="1057" t="s">
        <v>744</v>
      </c>
      <c r="J1218" s="1067">
        <v>1000</v>
      </c>
      <c r="K1218" s="1069" t="str">
        <f t="shared" si="94"/>
        <v>Ok</v>
      </c>
      <c r="L1218" s="1077">
        <f t="shared" si="95"/>
        <v>0</v>
      </c>
      <c r="M1218" s="512">
        <f>+SUM(M1219:M1232)</f>
        <v>40</v>
      </c>
      <c r="N1218" s="1073">
        <f>+VLOOKUP(H1218,'Parametros Generales'!$B$14:$D$17,3,TRUE)</f>
        <v>0.4</v>
      </c>
      <c r="O1218" s="1073">
        <f>+VLOOKUP(H1218,'Parametros Generales'!$B$14:$D$17,3,TRUE)</f>
        <v>0.4</v>
      </c>
      <c r="P1218" s="1073">
        <f>+VLOOKUP(H1218,'Parametros Generales'!$B$14:$D$17,3,TRUE)</f>
        <v>0.4</v>
      </c>
      <c r="Q1218" s="1073">
        <f>+R1218/'Parametros Generales'!$C$10</f>
        <v>1.25</v>
      </c>
      <c r="R1218" s="512">
        <f>+SUM(R1219:R1232)</f>
        <v>10</v>
      </c>
      <c r="S1218" s="390">
        <f>+VLOOKUP(S$1,'Componentes T.H.'!$B$4:$R$22,'Componentes T.H.'!$Q$1,0)*'Parametros Generales'!$C$6*'Cost x Depart'!N1218</f>
        <v>5862705.6550666681</v>
      </c>
      <c r="T1218" s="390">
        <f>+VLOOKUP(T$1,'Componentes T.H.'!$B$4:$R$22,'Componentes T.H.'!$Q$1,0)*'Parametros Generales'!$C$6*'Cost x Depart'!O1218</f>
        <v>4417526.2636000002</v>
      </c>
      <c r="U1218" s="390">
        <f>+VLOOKUP(U$1,'Componentes T.H.'!$B$4:$R$22,'Componentes T.H.'!$Q$1,0)*'Parametros Generales'!$C$6*'Cost x Depart'!P1218</f>
        <v>1956172.8</v>
      </c>
      <c r="V1218" s="389">
        <f>+VLOOKUP(V$1,'Componentes T.H.'!$B$4:$R$22,'Componentes T.H.'!$Q$1,0)*'Parametros Generales'!$C$6*'Cost x Depart'!Q1218</f>
        <v>12488809.417916667</v>
      </c>
      <c r="W1218" s="512">
        <f>+SUM(W1219:W1232)</f>
        <v>50185070.710000008</v>
      </c>
      <c r="X1218" s="512">
        <f>+SUM(X1219:X1232)</f>
        <v>2918855.7811676115</v>
      </c>
      <c r="Y1218" s="391">
        <f>+VLOOKUP(C1219,'Transporte y Viaticos'!$B$87:$F$120,2,0)*((O1218/'Parametros Generales'!$J$14)+(Q1218/'Parametros Generales'!$J$15)+(R1218/'Parametros Generales'!$J$16))*'Parametros Generales'!$C$6</f>
        <v>145577.93208573462</v>
      </c>
      <c r="Z1218" s="391">
        <f>+(N1218+O1218+Q1218)*'Parametros Generales'!$C$6*'Parametros Generales'!$J$7</f>
        <v>403071</v>
      </c>
      <c r="AA1218" s="391">
        <f>+SUM(N1218:R1218)*'Parametros Generales'!$C$6*'Parametros Generales'!$J$8</f>
        <v>2234775</v>
      </c>
      <c r="AB1218" s="512">
        <f>+SUM(AB1219:AB1232)</f>
        <v>19476363.63636364</v>
      </c>
      <c r="AC1218" s="512">
        <f>+SUM(AC1219:AC1232)</f>
        <v>73692493.837008119</v>
      </c>
      <c r="AD1218" s="391">
        <f>+'Parametros Generales'!$J$11*SUM(N1218:R1218)</f>
        <v>418818</v>
      </c>
      <c r="AE1218" s="436">
        <f>+SUM(S1218:AD1218)</f>
        <v>174200240.03320843</v>
      </c>
      <c r="AF1218" s="391">
        <f>+AE1218*(SUM('Res de Costos Pais'!G117:G117))</f>
        <v>11932716.442274779</v>
      </c>
      <c r="AG1218" s="391">
        <f>+AE1218+AF1218</f>
        <v>186132956.47548321</v>
      </c>
      <c r="AH1218" s="391">
        <f>+AG1218*SUM('Res de Costos Pais'!$G$123:$G$124)</f>
        <v>1798044.3595531678</v>
      </c>
      <c r="AI1218" s="391">
        <f>+(AG1218+AH1218)*'Res de Costos Pais'!$G$136</f>
        <v>507413.7022545982</v>
      </c>
      <c r="AJ1218" s="391">
        <f>+(AG1218+AH1218+AI1218)*'Res de Costos Pais'!$G$140</f>
        <v>753753.65814916382</v>
      </c>
      <c r="AK1218" s="391">
        <f>+AG1218+AH1218+AI1218+AJ1218</f>
        <v>189192168.19544011</v>
      </c>
      <c r="AL1218" s="820">
        <f>IF(ISERROR((+(AK1218/H1218)/'Parametros Generales'!$C$6)),0,(+(AK1218/H1218)/'Parametros Generales'!$C$6))</f>
        <v>37838.43363908802</v>
      </c>
    </row>
    <row r="1219" spans="1:38" s="33" customFormat="1" hidden="1" outlineLevel="1">
      <c r="A1219" s="1150"/>
      <c r="B1219" s="819">
        <v>95</v>
      </c>
      <c r="C1219" s="377" t="s">
        <v>744</v>
      </c>
      <c r="D1219" s="378">
        <f>+VLOOKUP(E1219,Codigos!$A$1:$B$1123,2,0)</f>
        <v>95001</v>
      </c>
      <c r="E1219" s="1110" t="s">
        <v>2312</v>
      </c>
      <c r="F1219" s="1102">
        <v>1</v>
      </c>
      <c r="G1219" s="379">
        <v>396</v>
      </c>
      <c r="H1219" s="1060">
        <f>CEILING(G1219,'Parametros Generales'!$C$8)</f>
        <v>400</v>
      </c>
      <c r="I1219" s="1057" t="s">
        <v>745</v>
      </c>
      <c r="J1219" s="1058">
        <v>400</v>
      </c>
      <c r="K1219" s="1070" t="str">
        <f t="shared" ref="K1219:K1274" si="105">+IF(I1219=E1219,"Ok","Rev")</f>
        <v>Ok</v>
      </c>
      <c r="L1219" s="1077">
        <f t="shared" ref="L1219:L1274" si="106">+J1219-H1219</f>
        <v>0</v>
      </c>
      <c r="M1219" s="1089">
        <f>+H1219/'Parametros Generales'!$C$8</f>
        <v>16</v>
      </c>
      <c r="N1219" s="1096"/>
      <c r="O1219" s="1096"/>
      <c r="P1219" s="1096"/>
      <c r="Q1219" s="1096"/>
      <c r="R1219" s="1096">
        <f>+(M1219/'Parametros Generales'!$C$9)</f>
        <v>4</v>
      </c>
      <c r="S1219" s="393"/>
      <c r="T1219" s="393"/>
      <c r="U1219" s="393"/>
      <c r="V1219" s="394"/>
      <c r="W1219" s="380">
        <f>+R1219*'Componentes T.H.'!$Q$9*'Parametros Generales'!$C$6</f>
        <v>20074028.284000002</v>
      </c>
      <c r="X1219" s="380">
        <f>(+VLOOKUP(C1219,'Transporte y Viaticos'!$B$87:$L$120,2,0)*'Parametros Generales'!$C$7*R1219)*(2/3)</f>
        <v>1167542.3124670447</v>
      </c>
      <c r="Y1219" s="417"/>
      <c r="Z1219" s="417"/>
      <c r="AA1219" s="417"/>
      <c r="AB1219" s="417">
        <f>+M1219*'Parametros Generales'!$C$6*'Parametros Generales'!$J$9</f>
        <v>7790545.4545454569</v>
      </c>
      <c r="AC1219" s="417">
        <f>+H1219*'Parametros Generales'!$J$10*'Parametros Generales'!$C$6*'Parametros Generales'!$C$11</f>
        <v>29476997.534803249</v>
      </c>
      <c r="AD1219" s="417"/>
      <c r="AE1219" s="417"/>
      <c r="AF1219" s="417"/>
      <c r="AG1219" s="417"/>
      <c r="AH1219" s="417"/>
      <c r="AI1219" s="417"/>
      <c r="AJ1219" s="417"/>
      <c r="AK1219" s="436"/>
      <c r="AL1219" s="822"/>
    </row>
    <row r="1220" spans="1:38" s="33" customFormat="1" hidden="1" outlineLevel="1">
      <c r="A1220" s="1150"/>
      <c r="B1220" s="821">
        <v>95</v>
      </c>
      <c r="C1220" s="371" t="s">
        <v>744</v>
      </c>
      <c r="D1220" s="31">
        <f>+VLOOKUP(E1220,Codigos!$A$1:$B$1123,2,0)</f>
        <v>95015</v>
      </c>
      <c r="E1220" s="1111" t="s">
        <v>2313</v>
      </c>
      <c r="F1220" s="1103">
        <v>1</v>
      </c>
      <c r="G1220" s="30">
        <v>198</v>
      </c>
      <c r="H1220" s="1061">
        <f>CEILING(G1220,'Parametros Generales'!$C$8)</f>
        <v>200</v>
      </c>
      <c r="I1220" s="1057" t="s">
        <v>746</v>
      </c>
      <c r="J1220" s="1058">
        <v>200</v>
      </c>
      <c r="K1220" s="1070" t="str">
        <f t="shared" si="105"/>
        <v>Ok</v>
      </c>
      <c r="L1220" s="1077">
        <f t="shared" si="106"/>
        <v>0</v>
      </c>
      <c r="M1220" s="1090">
        <f>+H1220/'Parametros Generales'!$C$8</f>
        <v>8</v>
      </c>
      <c r="N1220" s="1097"/>
      <c r="O1220" s="1097"/>
      <c r="P1220" s="1097"/>
      <c r="Q1220" s="1097"/>
      <c r="R1220" s="1097">
        <f>+(M1220/'Parametros Generales'!$C$9)</f>
        <v>2</v>
      </c>
      <c r="S1220" s="390"/>
      <c r="T1220" s="390"/>
      <c r="U1220" s="390"/>
      <c r="V1220" s="389"/>
      <c r="W1220" s="32">
        <f>+R1220*'Componentes T.H.'!$Q$9*'Parametros Generales'!$C$6</f>
        <v>10037014.142000001</v>
      </c>
      <c r="X1220" s="32">
        <f>(+VLOOKUP(C1220,'Transporte y Viaticos'!$B$87:$L$120,2,0)*'Parametros Generales'!$C$7*R1220)*(2/3)</f>
        <v>583771.15623352234</v>
      </c>
      <c r="Y1220" s="417"/>
      <c r="Z1220" s="417"/>
      <c r="AA1220" s="417"/>
      <c r="AB1220" s="417">
        <f>+M1220*'Parametros Generales'!$C$6*'Parametros Generales'!$J$9</f>
        <v>3895272.7272727285</v>
      </c>
      <c r="AC1220" s="417">
        <f>+H1220*'Parametros Generales'!$J$10*'Parametros Generales'!$C$6*'Parametros Generales'!$C$11</f>
        <v>14738498.767401624</v>
      </c>
      <c r="AD1220" s="417"/>
      <c r="AE1220" s="417"/>
      <c r="AF1220" s="417"/>
      <c r="AG1220" s="417"/>
      <c r="AH1220" s="417"/>
      <c r="AI1220" s="417"/>
      <c r="AJ1220" s="417"/>
      <c r="AK1220" s="436"/>
      <c r="AL1220" s="822"/>
    </row>
    <row r="1221" spans="1:38" s="33" customFormat="1" hidden="1" outlineLevel="1">
      <c r="A1221" s="1150"/>
      <c r="B1221" s="821">
        <v>95</v>
      </c>
      <c r="C1221" s="371" t="s">
        <v>744</v>
      </c>
      <c r="D1221" s="31">
        <f>+VLOOKUP(E1221,Codigos!$A$1:$B$1123,2,0)</f>
        <v>95025</v>
      </c>
      <c r="E1221" s="1111" t="s">
        <v>2314</v>
      </c>
      <c r="F1221" s="1103">
        <v>1</v>
      </c>
      <c r="G1221" s="30">
        <v>198</v>
      </c>
      <c r="H1221" s="1061">
        <f>CEILING(G1221,'Parametros Generales'!$C$8)</f>
        <v>200</v>
      </c>
      <c r="I1221" s="1057" t="s">
        <v>747</v>
      </c>
      <c r="J1221" s="1058">
        <v>200</v>
      </c>
      <c r="K1221" s="1070" t="str">
        <f t="shared" si="105"/>
        <v>Ok</v>
      </c>
      <c r="L1221" s="1076">
        <f t="shared" si="106"/>
        <v>0</v>
      </c>
      <c r="M1221" s="1090">
        <f>+H1221/'Parametros Generales'!$C$8</f>
        <v>8</v>
      </c>
      <c r="N1221" s="1097"/>
      <c r="O1221" s="1097"/>
      <c r="P1221" s="1097"/>
      <c r="Q1221" s="1097"/>
      <c r="R1221" s="1097">
        <f>+(M1221/'Parametros Generales'!$C$9)</f>
        <v>2</v>
      </c>
      <c r="S1221" s="390"/>
      <c r="T1221" s="390"/>
      <c r="U1221" s="390"/>
      <c r="V1221" s="389"/>
      <c r="W1221" s="32">
        <f>+R1221*'Componentes T.H.'!$Q$9*'Parametros Generales'!$C$6</f>
        <v>10037014.142000001</v>
      </c>
      <c r="X1221" s="32">
        <f>(+VLOOKUP(C1221,'Transporte y Viaticos'!$B$87:$L$120,2,0)*'Parametros Generales'!$C$7*R1221)*(2/3)</f>
        <v>583771.15623352234</v>
      </c>
      <c r="Y1221" s="417"/>
      <c r="Z1221" s="417"/>
      <c r="AA1221" s="417"/>
      <c r="AB1221" s="417">
        <f>+M1221*'Parametros Generales'!$C$6*'Parametros Generales'!$J$9</f>
        <v>3895272.7272727285</v>
      </c>
      <c r="AC1221" s="417">
        <f>+H1221*'Parametros Generales'!$J$10*'Parametros Generales'!$C$6*'Parametros Generales'!$C$11</f>
        <v>14738498.767401624</v>
      </c>
      <c r="AD1221" s="417"/>
      <c r="AE1221" s="417"/>
      <c r="AF1221" s="417"/>
      <c r="AG1221" s="417"/>
      <c r="AH1221" s="417"/>
      <c r="AI1221" s="417"/>
      <c r="AJ1221" s="417"/>
      <c r="AK1221" s="436"/>
      <c r="AL1221" s="822"/>
    </row>
    <row r="1222" spans="1:38" s="33" customFormat="1" hidden="1" outlineLevel="1">
      <c r="A1222" s="1150"/>
      <c r="B1222" s="823">
        <v>95</v>
      </c>
      <c r="C1222" s="373" t="s">
        <v>744</v>
      </c>
      <c r="D1222" s="374">
        <f>+VLOOKUP(E1222,Codigos!$A$1:$B$1123,2,0)</f>
        <v>95200</v>
      </c>
      <c r="E1222" s="1113" t="s">
        <v>2315</v>
      </c>
      <c r="F1222" s="1104">
        <v>1</v>
      </c>
      <c r="G1222" s="375">
        <v>198</v>
      </c>
      <c r="H1222" s="1062">
        <f>CEILING(G1222,'Parametros Generales'!$C$8)</f>
        <v>200</v>
      </c>
      <c r="I1222" s="1057" t="s">
        <v>748</v>
      </c>
      <c r="J1222" s="1058">
        <v>200</v>
      </c>
      <c r="K1222" s="1070" t="str">
        <f t="shared" si="105"/>
        <v>Ok</v>
      </c>
      <c r="L1222" s="1077">
        <f t="shared" si="106"/>
        <v>0</v>
      </c>
      <c r="M1222" s="1091">
        <f>+H1222/'Parametros Generales'!$C$8</f>
        <v>8</v>
      </c>
      <c r="N1222" s="1098"/>
      <c r="O1222" s="1098"/>
      <c r="P1222" s="1098"/>
      <c r="Q1222" s="1098"/>
      <c r="R1222" s="1098">
        <f>+(M1222/'Parametros Generales'!$C$9)</f>
        <v>2</v>
      </c>
      <c r="S1222" s="395"/>
      <c r="T1222" s="395"/>
      <c r="U1222" s="395"/>
      <c r="V1222" s="396"/>
      <c r="W1222" s="376">
        <f>+R1222*'Componentes T.H.'!$Q$9*'Parametros Generales'!$C$6</f>
        <v>10037014.142000001</v>
      </c>
      <c r="X1222" s="376">
        <f>(+VLOOKUP(C1222,'Transporte y Viaticos'!$B$87:$L$120,2,0)*'Parametros Generales'!$C$7*R1222)*(2/3)</f>
        <v>583771.15623352234</v>
      </c>
      <c r="Y1222" s="417"/>
      <c r="Z1222" s="417"/>
      <c r="AA1222" s="417"/>
      <c r="AB1222" s="417">
        <f>+M1222*'Parametros Generales'!$C$6*'Parametros Generales'!$J$9</f>
        <v>3895272.7272727285</v>
      </c>
      <c r="AC1222" s="417">
        <f>+H1222*'Parametros Generales'!$J$10*'Parametros Generales'!$C$6*'Parametros Generales'!$C$11</f>
        <v>14738498.767401624</v>
      </c>
      <c r="AD1222" s="417"/>
      <c r="AE1222" s="417"/>
      <c r="AF1222" s="417"/>
      <c r="AG1222" s="417"/>
      <c r="AH1222" s="417"/>
      <c r="AI1222" s="417"/>
      <c r="AJ1222" s="417"/>
      <c r="AK1222" s="436"/>
      <c r="AL1222" s="822"/>
    </row>
    <row r="1223" spans="1:38" s="33" customFormat="1" hidden="1" outlineLevel="1">
      <c r="A1223" s="1150"/>
      <c r="B1223" s="823">
        <f t="shared" ref="B1223:B1232" si="107">+B1222</f>
        <v>95</v>
      </c>
      <c r="C1223" s="373" t="str">
        <f t="shared" ref="C1223:C1232" si="108">+C1222</f>
        <v>GUAVIARE</v>
      </c>
      <c r="D1223" s="374"/>
      <c r="E1223" s="1113"/>
      <c r="F1223" s="1104"/>
      <c r="G1223" s="375"/>
      <c r="H1223" s="1062"/>
      <c r="I1223" s="1057"/>
      <c r="J1223" s="1058"/>
      <c r="K1223" s="1070" t="str">
        <f t="shared" si="105"/>
        <v>Ok</v>
      </c>
      <c r="L1223" s="1077">
        <f t="shared" si="106"/>
        <v>0</v>
      </c>
      <c r="M1223" s="1091">
        <f>+H1223/'Parametros Generales'!$C$8</f>
        <v>0</v>
      </c>
      <c r="N1223" s="1098"/>
      <c r="O1223" s="1098"/>
      <c r="P1223" s="1098"/>
      <c r="Q1223" s="1098"/>
      <c r="R1223" s="1098">
        <f>+(M1223/'Parametros Generales'!$C$9)</f>
        <v>0</v>
      </c>
      <c r="S1223" s="395"/>
      <c r="T1223" s="395"/>
      <c r="U1223" s="395"/>
      <c r="V1223" s="396"/>
      <c r="W1223" s="376">
        <f>+R1223*'Componentes T.H.'!$Q$9*'Parametros Generales'!$C$6</f>
        <v>0</v>
      </c>
      <c r="X1223" s="376">
        <f>(+VLOOKUP(C1223,'Transporte y Viaticos'!$B$87:$L$120,2,0)*'Parametros Generales'!$C$7*R1223)*(2/3)</f>
        <v>0</v>
      </c>
      <c r="Y1223" s="417"/>
      <c r="Z1223" s="417"/>
      <c r="AA1223" s="417"/>
      <c r="AB1223" s="417">
        <f>+M1223*'Parametros Generales'!$C$6*'Parametros Generales'!$J$9</f>
        <v>0</v>
      </c>
      <c r="AC1223" s="417">
        <f>+H1223*'Parametros Generales'!$J$10*'Parametros Generales'!$C$6*'Parametros Generales'!$C$11</f>
        <v>0</v>
      </c>
      <c r="AD1223" s="417"/>
      <c r="AE1223" s="417"/>
      <c r="AF1223" s="417"/>
      <c r="AG1223" s="417"/>
      <c r="AH1223" s="417"/>
      <c r="AI1223" s="417"/>
      <c r="AJ1223" s="417"/>
      <c r="AK1223" s="436"/>
      <c r="AL1223" s="822"/>
    </row>
    <row r="1224" spans="1:38" s="33" customFormat="1" hidden="1" outlineLevel="1">
      <c r="A1224" s="1150"/>
      <c r="B1224" s="823">
        <f t="shared" si="107"/>
        <v>95</v>
      </c>
      <c r="C1224" s="373" t="str">
        <f t="shared" si="108"/>
        <v>GUAVIARE</v>
      </c>
      <c r="D1224" s="374"/>
      <c r="E1224" s="1113"/>
      <c r="F1224" s="1104"/>
      <c r="G1224" s="375"/>
      <c r="H1224" s="1062"/>
      <c r="I1224" s="1057"/>
      <c r="J1224" s="1058"/>
      <c r="K1224" s="1070" t="str">
        <f t="shared" si="105"/>
        <v>Ok</v>
      </c>
      <c r="L1224" s="1077">
        <f t="shared" si="106"/>
        <v>0</v>
      </c>
      <c r="M1224" s="1091">
        <f>+H1224/'Parametros Generales'!$C$8</f>
        <v>0</v>
      </c>
      <c r="N1224" s="1098"/>
      <c r="O1224" s="1098"/>
      <c r="P1224" s="1098"/>
      <c r="Q1224" s="1098"/>
      <c r="R1224" s="1098">
        <f>+(M1224/'Parametros Generales'!$C$9)</f>
        <v>0</v>
      </c>
      <c r="S1224" s="395"/>
      <c r="T1224" s="395"/>
      <c r="U1224" s="395"/>
      <c r="V1224" s="396"/>
      <c r="W1224" s="376">
        <f>+R1224*'Componentes T.H.'!$Q$9*'Parametros Generales'!$C$6</f>
        <v>0</v>
      </c>
      <c r="X1224" s="376">
        <f>(+VLOOKUP(C1224,'Transporte y Viaticos'!$B$87:$L$120,2,0)*'Parametros Generales'!$C$7*R1224)*(2/3)</f>
        <v>0</v>
      </c>
      <c r="Y1224" s="417"/>
      <c r="Z1224" s="417"/>
      <c r="AA1224" s="417"/>
      <c r="AB1224" s="417">
        <f>+M1224*'Parametros Generales'!$C$6*'Parametros Generales'!$J$9</f>
        <v>0</v>
      </c>
      <c r="AC1224" s="417">
        <f>+H1224*'Parametros Generales'!$J$10*'Parametros Generales'!$C$6*'Parametros Generales'!$C$11</f>
        <v>0</v>
      </c>
      <c r="AD1224" s="417"/>
      <c r="AE1224" s="417"/>
      <c r="AF1224" s="417"/>
      <c r="AG1224" s="417"/>
      <c r="AH1224" s="417"/>
      <c r="AI1224" s="417"/>
      <c r="AJ1224" s="417"/>
      <c r="AK1224" s="436"/>
      <c r="AL1224" s="822"/>
    </row>
    <row r="1225" spans="1:38" s="33" customFormat="1" hidden="1" outlineLevel="1">
      <c r="A1225" s="1150"/>
      <c r="B1225" s="823">
        <f t="shared" si="107"/>
        <v>95</v>
      </c>
      <c r="C1225" s="373" t="str">
        <f t="shared" si="108"/>
        <v>GUAVIARE</v>
      </c>
      <c r="D1225" s="374"/>
      <c r="E1225" s="1113"/>
      <c r="F1225" s="1104"/>
      <c r="G1225" s="375"/>
      <c r="H1225" s="1062"/>
      <c r="I1225" s="1057"/>
      <c r="J1225" s="1058"/>
      <c r="K1225" s="1070" t="str">
        <f t="shared" si="105"/>
        <v>Ok</v>
      </c>
      <c r="L1225" s="1077">
        <f t="shared" si="106"/>
        <v>0</v>
      </c>
      <c r="M1225" s="1091">
        <f>+H1225/'Parametros Generales'!$C$8</f>
        <v>0</v>
      </c>
      <c r="N1225" s="1098"/>
      <c r="O1225" s="1098"/>
      <c r="P1225" s="1098"/>
      <c r="Q1225" s="1098"/>
      <c r="R1225" s="1098">
        <f>+(M1225/'Parametros Generales'!$C$9)</f>
        <v>0</v>
      </c>
      <c r="S1225" s="395"/>
      <c r="T1225" s="395"/>
      <c r="U1225" s="395"/>
      <c r="V1225" s="396"/>
      <c r="W1225" s="376">
        <f>+R1225*'Componentes T.H.'!$Q$9*'Parametros Generales'!$C$6</f>
        <v>0</v>
      </c>
      <c r="X1225" s="376">
        <f>(+VLOOKUP(C1225,'Transporte y Viaticos'!$B$87:$L$120,2,0)*'Parametros Generales'!$C$7*R1225)*(2/3)</f>
        <v>0</v>
      </c>
      <c r="Y1225" s="417"/>
      <c r="Z1225" s="417"/>
      <c r="AA1225" s="417"/>
      <c r="AB1225" s="417">
        <f>+M1225*'Parametros Generales'!$C$6*'Parametros Generales'!$J$9</f>
        <v>0</v>
      </c>
      <c r="AC1225" s="417">
        <f>+H1225*'Parametros Generales'!$J$10*'Parametros Generales'!$C$6*'Parametros Generales'!$C$11</f>
        <v>0</v>
      </c>
      <c r="AD1225" s="417"/>
      <c r="AE1225" s="417"/>
      <c r="AF1225" s="417"/>
      <c r="AG1225" s="417"/>
      <c r="AH1225" s="417"/>
      <c r="AI1225" s="417"/>
      <c r="AJ1225" s="417"/>
      <c r="AK1225" s="436"/>
      <c r="AL1225" s="822"/>
    </row>
    <row r="1226" spans="1:38" s="33" customFormat="1" hidden="1" outlineLevel="1">
      <c r="A1226" s="1150"/>
      <c r="B1226" s="823">
        <f t="shared" si="107"/>
        <v>95</v>
      </c>
      <c r="C1226" s="373" t="str">
        <f t="shared" si="108"/>
        <v>GUAVIARE</v>
      </c>
      <c r="D1226" s="374"/>
      <c r="E1226" s="1113"/>
      <c r="F1226" s="1104"/>
      <c r="G1226" s="375"/>
      <c r="H1226" s="1062"/>
      <c r="I1226" s="1057"/>
      <c r="J1226" s="1058"/>
      <c r="K1226" s="1070" t="str">
        <f t="shared" si="105"/>
        <v>Ok</v>
      </c>
      <c r="L1226" s="1077">
        <f t="shared" si="106"/>
        <v>0</v>
      </c>
      <c r="M1226" s="1091">
        <f>+H1226/'Parametros Generales'!$C$8</f>
        <v>0</v>
      </c>
      <c r="N1226" s="1098"/>
      <c r="O1226" s="1098"/>
      <c r="P1226" s="1098"/>
      <c r="Q1226" s="1098"/>
      <c r="R1226" s="1098">
        <f>+(M1226/'Parametros Generales'!$C$9)</f>
        <v>0</v>
      </c>
      <c r="S1226" s="395"/>
      <c r="T1226" s="395"/>
      <c r="U1226" s="395"/>
      <c r="V1226" s="396"/>
      <c r="W1226" s="376">
        <f>+R1226*'Componentes T.H.'!$Q$9*'Parametros Generales'!$C$6</f>
        <v>0</v>
      </c>
      <c r="X1226" s="376">
        <f>(+VLOOKUP(C1226,'Transporte y Viaticos'!$B$87:$L$120,2,0)*'Parametros Generales'!$C$7*R1226)*(2/3)</f>
        <v>0</v>
      </c>
      <c r="Y1226" s="417"/>
      <c r="Z1226" s="417"/>
      <c r="AA1226" s="417"/>
      <c r="AB1226" s="417">
        <f>+M1226*'Parametros Generales'!$C$6*'Parametros Generales'!$J$9</f>
        <v>0</v>
      </c>
      <c r="AC1226" s="417">
        <f>+H1226*'Parametros Generales'!$J$10*'Parametros Generales'!$C$6*'Parametros Generales'!$C$11</f>
        <v>0</v>
      </c>
      <c r="AD1226" s="417"/>
      <c r="AE1226" s="417"/>
      <c r="AF1226" s="417"/>
      <c r="AG1226" s="417"/>
      <c r="AH1226" s="417"/>
      <c r="AI1226" s="417"/>
      <c r="AJ1226" s="417"/>
      <c r="AK1226" s="436"/>
      <c r="AL1226" s="822"/>
    </row>
    <row r="1227" spans="1:38" s="33" customFormat="1" hidden="1" outlineLevel="1">
      <c r="A1227" s="1150"/>
      <c r="B1227" s="823">
        <f t="shared" si="107"/>
        <v>95</v>
      </c>
      <c r="C1227" s="373" t="str">
        <f t="shared" si="108"/>
        <v>GUAVIARE</v>
      </c>
      <c r="D1227" s="374"/>
      <c r="E1227" s="1113"/>
      <c r="F1227" s="1104"/>
      <c r="G1227" s="375"/>
      <c r="H1227" s="1062"/>
      <c r="I1227" s="1057"/>
      <c r="J1227" s="1058"/>
      <c r="K1227" s="1070" t="str">
        <f t="shared" si="105"/>
        <v>Ok</v>
      </c>
      <c r="L1227" s="1077">
        <f t="shared" si="106"/>
        <v>0</v>
      </c>
      <c r="M1227" s="1091">
        <f>+H1227/'Parametros Generales'!$C$8</f>
        <v>0</v>
      </c>
      <c r="N1227" s="1098"/>
      <c r="O1227" s="1098"/>
      <c r="P1227" s="1098"/>
      <c r="Q1227" s="1098"/>
      <c r="R1227" s="1098">
        <f>+(M1227/'Parametros Generales'!$C$9)</f>
        <v>0</v>
      </c>
      <c r="S1227" s="395"/>
      <c r="T1227" s="395"/>
      <c r="U1227" s="395"/>
      <c r="V1227" s="396"/>
      <c r="W1227" s="376">
        <f>+R1227*'Componentes T.H.'!$Q$9*'Parametros Generales'!$C$6</f>
        <v>0</v>
      </c>
      <c r="X1227" s="376">
        <f>(+VLOOKUP(C1227,'Transporte y Viaticos'!$B$87:$L$120,2,0)*'Parametros Generales'!$C$7*R1227)*(2/3)</f>
        <v>0</v>
      </c>
      <c r="Y1227" s="417"/>
      <c r="Z1227" s="417"/>
      <c r="AA1227" s="417"/>
      <c r="AB1227" s="417">
        <f>+M1227*'Parametros Generales'!$C$6*'Parametros Generales'!$J$9</f>
        <v>0</v>
      </c>
      <c r="AC1227" s="417">
        <f>+H1227*'Parametros Generales'!$J$10*'Parametros Generales'!$C$6*'Parametros Generales'!$C$11</f>
        <v>0</v>
      </c>
      <c r="AD1227" s="417"/>
      <c r="AE1227" s="417"/>
      <c r="AF1227" s="417"/>
      <c r="AG1227" s="417"/>
      <c r="AH1227" s="417"/>
      <c r="AI1227" s="417"/>
      <c r="AJ1227" s="417"/>
      <c r="AK1227" s="436"/>
      <c r="AL1227" s="822"/>
    </row>
    <row r="1228" spans="1:38" s="33" customFormat="1" hidden="1" outlineLevel="1">
      <c r="A1228" s="1150"/>
      <c r="B1228" s="823">
        <f t="shared" si="107"/>
        <v>95</v>
      </c>
      <c r="C1228" s="373" t="str">
        <f t="shared" si="108"/>
        <v>GUAVIARE</v>
      </c>
      <c r="D1228" s="374"/>
      <c r="E1228" s="1113"/>
      <c r="F1228" s="1104"/>
      <c r="G1228" s="375"/>
      <c r="H1228" s="1062"/>
      <c r="I1228" s="1057"/>
      <c r="J1228" s="1058"/>
      <c r="K1228" s="1070" t="str">
        <f t="shared" si="105"/>
        <v>Ok</v>
      </c>
      <c r="L1228" s="1077">
        <f t="shared" si="106"/>
        <v>0</v>
      </c>
      <c r="M1228" s="1091">
        <f>+H1228/'Parametros Generales'!$C$8</f>
        <v>0</v>
      </c>
      <c r="N1228" s="1098"/>
      <c r="O1228" s="1098"/>
      <c r="P1228" s="1098"/>
      <c r="Q1228" s="1098"/>
      <c r="R1228" s="1098">
        <f>+(M1228/'Parametros Generales'!$C$9)</f>
        <v>0</v>
      </c>
      <c r="S1228" s="395"/>
      <c r="T1228" s="395"/>
      <c r="U1228" s="395"/>
      <c r="V1228" s="396"/>
      <c r="W1228" s="376">
        <f>+R1228*'Componentes T.H.'!$Q$9*'Parametros Generales'!$C$6</f>
        <v>0</v>
      </c>
      <c r="X1228" s="376">
        <f>(+VLOOKUP(C1228,'Transporte y Viaticos'!$B$87:$L$120,2,0)*'Parametros Generales'!$C$7*R1228)*(2/3)</f>
        <v>0</v>
      </c>
      <c r="Y1228" s="417"/>
      <c r="Z1228" s="417"/>
      <c r="AA1228" s="417"/>
      <c r="AB1228" s="417">
        <f>+M1228*'Parametros Generales'!$C$6*'Parametros Generales'!$J$9</f>
        <v>0</v>
      </c>
      <c r="AC1228" s="417">
        <f>+H1228*'Parametros Generales'!$J$10*'Parametros Generales'!$C$6*'Parametros Generales'!$C$11</f>
        <v>0</v>
      </c>
      <c r="AD1228" s="417"/>
      <c r="AE1228" s="417"/>
      <c r="AF1228" s="417"/>
      <c r="AG1228" s="417"/>
      <c r="AH1228" s="417"/>
      <c r="AI1228" s="417"/>
      <c r="AJ1228" s="417"/>
      <c r="AK1228" s="436"/>
      <c r="AL1228" s="822"/>
    </row>
    <row r="1229" spans="1:38" s="33" customFormat="1" hidden="1" outlineLevel="1">
      <c r="A1229" s="1150"/>
      <c r="B1229" s="823">
        <f t="shared" si="107"/>
        <v>95</v>
      </c>
      <c r="C1229" s="373" t="str">
        <f t="shared" si="108"/>
        <v>GUAVIARE</v>
      </c>
      <c r="D1229" s="374"/>
      <c r="E1229" s="1113"/>
      <c r="F1229" s="1104"/>
      <c r="G1229" s="375"/>
      <c r="H1229" s="1062"/>
      <c r="I1229" s="1057"/>
      <c r="J1229" s="1058"/>
      <c r="K1229" s="1070" t="str">
        <f t="shared" si="105"/>
        <v>Ok</v>
      </c>
      <c r="L1229" s="1077">
        <f t="shared" si="106"/>
        <v>0</v>
      </c>
      <c r="M1229" s="1091">
        <f>+H1229/'Parametros Generales'!$C$8</f>
        <v>0</v>
      </c>
      <c r="N1229" s="1098"/>
      <c r="O1229" s="1098"/>
      <c r="P1229" s="1098"/>
      <c r="Q1229" s="1098"/>
      <c r="R1229" s="1098">
        <f>+(M1229/'Parametros Generales'!$C$9)</f>
        <v>0</v>
      </c>
      <c r="S1229" s="395"/>
      <c r="T1229" s="395"/>
      <c r="U1229" s="395"/>
      <c r="V1229" s="396"/>
      <c r="W1229" s="376">
        <f>+R1229*'Componentes T.H.'!$Q$9*'Parametros Generales'!$C$6</f>
        <v>0</v>
      </c>
      <c r="X1229" s="376">
        <f>(+VLOOKUP(C1229,'Transporte y Viaticos'!$B$87:$L$120,2,0)*'Parametros Generales'!$C$7*R1229)*(2/3)</f>
        <v>0</v>
      </c>
      <c r="Y1229" s="417"/>
      <c r="Z1229" s="417"/>
      <c r="AA1229" s="417"/>
      <c r="AB1229" s="417">
        <f>+M1229*'Parametros Generales'!$C$6*'Parametros Generales'!$J$9</f>
        <v>0</v>
      </c>
      <c r="AC1229" s="417">
        <f>+H1229*'Parametros Generales'!$J$10*'Parametros Generales'!$C$6*'Parametros Generales'!$C$11</f>
        <v>0</v>
      </c>
      <c r="AD1229" s="417"/>
      <c r="AE1229" s="417"/>
      <c r="AF1229" s="417"/>
      <c r="AG1229" s="417"/>
      <c r="AH1229" s="417"/>
      <c r="AI1229" s="417"/>
      <c r="AJ1229" s="417"/>
      <c r="AK1229" s="436"/>
      <c r="AL1229" s="822"/>
    </row>
    <row r="1230" spans="1:38" s="33" customFormat="1" hidden="1" outlineLevel="1">
      <c r="A1230" s="1150"/>
      <c r="B1230" s="823">
        <f t="shared" si="107"/>
        <v>95</v>
      </c>
      <c r="C1230" s="373" t="str">
        <f t="shared" si="108"/>
        <v>GUAVIARE</v>
      </c>
      <c r="D1230" s="374"/>
      <c r="E1230" s="1113"/>
      <c r="F1230" s="1104"/>
      <c r="G1230" s="375"/>
      <c r="H1230" s="1062"/>
      <c r="I1230" s="1057"/>
      <c r="J1230" s="1058"/>
      <c r="K1230" s="1070" t="str">
        <f t="shared" si="105"/>
        <v>Ok</v>
      </c>
      <c r="L1230" s="1077">
        <f t="shared" si="106"/>
        <v>0</v>
      </c>
      <c r="M1230" s="1091">
        <f>+H1230/'Parametros Generales'!$C$8</f>
        <v>0</v>
      </c>
      <c r="N1230" s="1098"/>
      <c r="O1230" s="1098"/>
      <c r="P1230" s="1098"/>
      <c r="Q1230" s="1098"/>
      <c r="R1230" s="1098">
        <f>+(M1230/'Parametros Generales'!$C$9)</f>
        <v>0</v>
      </c>
      <c r="S1230" s="395"/>
      <c r="T1230" s="395"/>
      <c r="U1230" s="395"/>
      <c r="V1230" s="396"/>
      <c r="W1230" s="376">
        <f>+R1230*'Componentes T.H.'!$Q$9*'Parametros Generales'!$C$6</f>
        <v>0</v>
      </c>
      <c r="X1230" s="376">
        <f>(+VLOOKUP(C1230,'Transporte y Viaticos'!$B$87:$L$120,2,0)*'Parametros Generales'!$C$7*R1230)*(2/3)</f>
        <v>0</v>
      </c>
      <c r="Y1230" s="417"/>
      <c r="Z1230" s="417"/>
      <c r="AA1230" s="417"/>
      <c r="AB1230" s="417">
        <f>+M1230*'Parametros Generales'!$C$6*'Parametros Generales'!$J$9</f>
        <v>0</v>
      </c>
      <c r="AC1230" s="417">
        <f>+H1230*'Parametros Generales'!$J$10*'Parametros Generales'!$C$6*'Parametros Generales'!$C$11</f>
        <v>0</v>
      </c>
      <c r="AD1230" s="417"/>
      <c r="AE1230" s="417"/>
      <c r="AF1230" s="417"/>
      <c r="AG1230" s="417"/>
      <c r="AH1230" s="417"/>
      <c r="AI1230" s="417"/>
      <c r="AJ1230" s="417"/>
      <c r="AK1230" s="436"/>
      <c r="AL1230" s="822"/>
    </row>
    <row r="1231" spans="1:38" s="33" customFormat="1" hidden="1" outlineLevel="1">
      <c r="A1231" s="1150"/>
      <c r="B1231" s="823">
        <f t="shared" si="107"/>
        <v>95</v>
      </c>
      <c r="C1231" s="373" t="str">
        <f t="shared" si="108"/>
        <v>GUAVIARE</v>
      </c>
      <c r="D1231" s="374"/>
      <c r="E1231" s="1113"/>
      <c r="F1231" s="1104"/>
      <c r="G1231" s="375"/>
      <c r="H1231" s="1062"/>
      <c r="I1231" s="1057"/>
      <c r="J1231" s="1058"/>
      <c r="K1231" s="1070" t="str">
        <f t="shared" si="105"/>
        <v>Ok</v>
      </c>
      <c r="L1231" s="1077">
        <f t="shared" si="106"/>
        <v>0</v>
      </c>
      <c r="M1231" s="1091">
        <f>+H1231/'Parametros Generales'!$C$8</f>
        <v>0</v>
      </c>
      <c r="N1231" s="1098"/>
      <c r="O1231" s="1098"/>
      <c r="P1231" s="1098"/>
      <c r="Q1231" s="1098"/>
      <c r="R1231" s="1098">
        <f>+(M1231/'Parametros Generales'!$C$9)</f>
        <v>0</v>
      </c>
      <c r="S1231" s="395"/>
      <c r="T1231" s="395"/>
      <c r="U1231" s="395"/>
      <c r="V1231" s="396"/>
      <c r="W1231" s="376">
        <f>+R1231*'Componentes T.H.'!$Q$9*'Parametros Generales'!$C$6</f>
        <v>0</v>
      </c>
      <c r="X1231" s="376">
        <f>(+VLOOKUP(C1231,'Transporte y Viaticos'!$B$87:$L$120,2,0)*'Parametros Generales'!$C$7*R1231)*(2/3)</f>
        <v>0</v>
      </c>
      <c r="Y1231" s="417"/>
      <c r="Z1231" s="417"/>
      <c r="AA1231" s="417"/>
      <c r="AB1231" s="417">
        <f>+M1231*'Parametros Generales'!$C$6*'Parametros Generales'!$J$9</f>
        <v>0</v>
      </c>
      <c r="AC1231" s="417">
        <f>+H1231*'Parametros Generales'!$J$10*'Parametros Generales'!$C$6*'Parametros Generales'!$C$11</f>
        <v>0</v>
      </c>
      <c r="AD1231" s="417"/>
      <c r="AE1231" s="417"/>
      <c r="AF1231" s="417"/>
      <c r="AG1231" s="417"/>
      <c r="AH1231" s="417"/>
      <c r="AI1231" s="417"/>
      <c r="AJ1231" s="417"/>
      <c r="AK1231" s="436"/>
      <c r="AL1231" s="822"/>
    </row>
    <row r="1232" spans="1:38" s="33" customFormat="1" hidden="1" outlineLevel="1">
      <c r="A1232" s="1150"/>
      <c r="B1232" s="823">
        <f t="shared" si="107"/>
        <v>95</v>
      </c>
      <c r="C1232" s="373" t="str">
        <f t="shared" si="108"/>
        <v>GUAVIARE</v>
      </c>
      <c r="D1232" s="374"/>
      <c r="E1232" s="1113"/>
      <c r="F1232" s="1104"/>
      <c r="G1232" s="375"/>
      <c r="H1232" s="1062"/>
      <c r="I1232" s="1057"/>
      <c r="J1232" s="1058"/>
      <c r="K1232" s="1070" t="str">
        <f t="shared" si="105"/>
        <v>Ok</v>
      </c>
      <c r="L1232" s="1077">
        <f t="shared" si="106"/>
        <v>0</v>
      </c>
      <c r="M1232" s="1091">
        <f>+H1232/'Parametros Generales'!$C$8</f>
        <v>0</v>
      </c>
      <c r="N1232" s="1098"/>
      <c r="O1232" s="1098"/>
      <c r="P1232" s="1098"/>
      <c r="Q1232" s="1098"/>
      <c r="R1232" s="1098">
        <f>+(M1232/'Parametros Generales'!$C$9)</f>
        <v>0</v>
      </c>
      <c r="S1232" s="395"/>
      <c r="T1232" s="395"/>
      <c r="U1232" s="395"/>
      <c r="V1232" s="396"/>
      <c r="W1232" s="376">
        <f>+R1232*'Componentes T.H.'!$Q$9*'Parametros Generales'!$C$6</f>
        <v>0</v>
      </c>
      <c r="X1232" s="376">
        <f>(+VLOOKUP(C1232,'Transporte y Viaticos'!$B$87:$L$120,2,0)*'Parametros Generales'!$C$7*R1232)*(2/3)</f>
        <v>0</v>
      </c>
      <c r="Y1232" s="417"/>
      <c r="Z1232" s="417"/>
      <c r="AA1232" s="417"/>
      <c r="AB1232" s="417">
        <f>+M1232*'Parametros Generales'!$C$6*'Parametros Generales'!$J$9</f>
        <v>0</v>
      </c>
      <c r="AC1232" s="417">
        <f>+H1232*'Parametros Generales'!$J$10*'Parametros Generales'!$C$6*'Parametros Generales'!$C$11</f>
        <v>0</v>
      </c>
      <c r="AD1232" s="417"/>
      <c r="AE1232" s="417"/>
      <c r="AF1232" s="417"/>
      <c r="AG1232" s="417"/>
      <c r="AH1232" s="417"/>
      <c r="AI1232" s="417"/>
      <c r="AJ1232" s="417"/>
      <c r="AK1232" s="436"/>
      <c r="AL1232" s="822"/>
    </row>
    <row r="1233" spans="1:38" s="392" customFormat="1" collapsed="1">
      <c r="A1233" s="1151">
        <v>33</v>
      </c>
      <c r="B1233" s="824">
        <v>97</v>
      </c>
      <c r="C1233" s="385" t="s">
        <v>2323</v>
      </c>
      <c r="D1233" s="386"/>
      <c r="E1233" s="1114" t="s">
        <v>749</v>
      </c>
      <c r="F1233" s="1105">
        <f>SUM(F1234:F1245)</f>
        <v>1</v>
      </c>
      <c r="G1233" s="388">
        <f>+G1234</f>
        <v>396</v>
      </c>
      <c r="H1233" s="512">
        <f>+SUM(H1234:H1245)</f>
        <v>400</v>
      </c>
      <c r="I1233" s="1057" t="s">
        <v>749</v>
      </c>
      <c r="J1233" s="1067">
        <v>400</v>
      </c>
      <c r="K1233" s="1069" t="str">
        <f t="shared" si="105"/>
        <v>Ok</v>
      </c>
      <c r="L1233" s="1077">
        <f t="shared" si="106"/>
        <v>0</v>
      </c>
      <c r="M1233" s="512">
        <f>+SUM(M1234:M1245)</f>
        <v>16</v>
      </c>
      <c r="N1233" s="1073">
        <f>+VLOOKUP(H1233,'Parametros Generales'!$B$14:$D$17,3,TRUE)</f>
        <v>0.4</v>
      </c>
      <c r="O1233" s="1073">
        <f>+VLOOKUP(H1233,'Parametros Generales'!$B$14:$D$17,3,TRUE)</f>
        <v>0.4</v>
      </c>
      <c r="P1233" s="1073">
        <f>+VLOOKUP(H1233,'Parametros Generales'!$B$14:$D$17,3,TRUE)</f>
        <v>0.4</v>
      </c>
      <c r="Q1233" s="1073">
        <f>+R1233/'Parametros Generales'!$C$10</f>
        <v>0.5</v>
      </c>
      <c r="R1233" s="512">
        <f>+SUM(R1234:R1245)</f>
        <v>4</v>
      </c>
      <c r="S1233" s="390">
        <f>+VLOOKUP(S$1,'Componentes T.H.'!$B$4:$R$22,'Componentes T.H.'!$Q$1,0)*'Parametros Generales'!$C$6*'Cost x Depart'!N1233</f>
        <v>5862705.6550666681</v>
      </c>
      <c r="T1233" s="390">
        <f>+VLOOKUP(T$1,'Componentes T.H.'!$B$4:$R$22,'Componentes T.H.'!$Q$1,0)*'Parametros Generales'!$C$6*'Cost x Depart'!O1233</f>
        <v>4417526.2636000002</v>
      </c>
      <c r="U1233" s="390">
        <f>+VLOOKUP(U$1,'Componentes T.H.'!$B$4:$R$22,'Componentes T.H.'!$Q$1,0)*'Parametros Generales'!$C$6*'Cost x Depart'!P1233</f>
        <v>1956172.8</v>
      </c>
      <c r="V1233" s="389">
        <f>+VLOOKUP(V$1,'Componentes T.H.'!$B$4:$R$22,'Componentes T.H.'!$Q$1,0)*'Parametros Generales'!$C$6*'Cost x Depart'!Q1233</f>
        <v>4995523.7671666667</v>
      </c>
      <c r="W1233" s="512">
        <f>+SUM(W1234:W1245)</f>
        <v>20074028.284000002</v>
      </c>
      <c r="X1233" s="512">
        <f>+SUM(X1234:X1245)</f>
        <v>1364440.0937526594</v>
      </c>
      <c r="Y1233" s="391">
        <f>+VLOOKUP(C1234,'Transporte y Viaticos'!$B$87:$F$120,2,0)*((O1233/'Parametros Generales'!$J$14)+(Q1233/'Parametros Generales'!$J$15)+(R1233/'Parametros Generales'!$J$16))*'Parametros Generales'!$C$6</f>
        <v>74191.430097800869</v>
      </c>
      <c r="Z1233" s="391">
        <f>+(N1233+O1233+Q1233)*'Parametros Generales'!$C$6*'Parametros Generales'!$J$7</f>
        <v>255606</v>
      </c>
      <c r="AA1233" s="391">
        <f>+SUM(N1233:R1233)*'Parametros Generales'!$C$6*'Parametros Generales'!$J$8</f>
        <v>1023150</v>
      </c>
      <c r="AB1233" s="512">
        <f>+SUM(AB1234:AB1245)</f>
        <v>7790545.4545454569</v>
      </c>
      <c r="AC1233" s="512">
        <f>+SUM(AC1234:AC1245)</f>
        <v>29476997.534803249</v>
      </c>
      <c r="AD1233" s="391">
        <f>+'Parametros Generales'!$J$11*SUM(N1233:R1233)</f>
        <v>191748</v>
      </c>
      <c r="AE1233" s="436">
        <f>+SUM(S1233:AD1233)</f>
        <v>77482635.283032507</v>
      </c>
      <c r="AF1233" s="391">
        <f>+AE1233*(SUM('Res de Costos Pais'!G117:G117))</f>
        <v>5307560.5168877272</v>
      </c>
      <c r="AG1233" s="391">
        <f>+AE1233+AF1233</f>
        <v>82790195.799920231</v>
      </c>
      <c r="AH1233" s="391">
        <f>+AG1233*SUM('Res de Costos Pais'!$G$123:$G$124)</f>
        <v>799753.29142722941</v>
      </c>
      <c r="AI1233" s="391">
        <f>+(AG1233+AH1233)*'Res de Costos Pais'!$G$136</f>
        <v>225692.86254663815</v>
      </c>
      <c r="AJ1233" s="391">
        <f>+(AG1233+AH1233+AI1233)*'Res de Costos Pais'!$G$140</f>
        <v>335262.56781557639</v>
      </c>
      <c r="AK1233" s="391">
        <f>+AG1233+AH1233+AI1233+AJ1233</f>
        <v>84150904.521709666</v>
      </c>
      <c r="AL1233" s="820">
        <f>IF(ISERROR((+(AK1233/H1233)/'Parametros Generales'!$C$6)),0,(+(AK1233/H1233)/'Parametros Generales'!$C$6))</f>
        <v>42075.452260854836</v>
      </c>
    </row>
    <row r="1234" spans="1:38" s="33" customFormat="1" hidden="1" outlineLevel="1">
      <c r="A1234" s="1150"/>
      <c r="B1234" s="821">
        <v>97</v>
      </c>
      <c r="C1234" s="371" t="s">
        <v>2323</v>
      </c>
      <c r="D1234" s="31">
        <f>+VLOOKUP(E1234,Codigos!$A$1:$B$1123,2,0)</f>
        <v>97001</v>
      </c>
      <c r="E1234" s="1111" t="s">
        <v>2316</v>
      </c>
      <c r="F1234" s="1103">
        <v>1</v>
      </c>
      <c r="G1234" s="30">
        <v>396</v>
      </c>
      <c r="H1234" s="1090">
        <f>CEILING(G1234,'Parametros Generales'!$C$8)</f>
        <v>400</v>
      </c>
      <c r="I1234" s="1057" t="s">
        <v>750</v>
      </c>
      <c r="J1234" s="1058">
        <v>400</v>
      </c>
      <c r="K1234" s="1070" t="str">
        <f t="shared" si="105"/>
        <v>Ok</v>
      </c>
      <c r="L1234" s="1077">
        <f t="shared" si="106"/>
        <v>0</v>
      </c>
      <c r="M1234" s="1090">
        <f>+H1234/'Parametros Generales'!$C$8</f>
        <v>16</v>
      </c>
      <c r="N1234" s="1097"/>
      <c r="O1234" s="1097"/>
      <c r="P1234" s="1097"/>
      <c r="Q1234" s="1097"/>
      <c r="R1234" s="1097">
        <f>+(M1234/'Parametros Generales'!$C$9)</f>
        <v>4</v>
      </c>
      <c r="S1234" s="390"/>
      <c r="T1234" s="390"/>
      <c r="U1234" s="390"/>
      <c r="V1234" s="389"/>
      <c r="W1234" s="32">
        <f>+R1234*'Componentes T.H.'!$Q$9*'Parametros Generales'!$C$6</f>
        <v>20074028.284000002</v>
      </c>
      <c r="X1234" s="32">
        <f>(+VLOOKUP(C1234,'Transporte y Viaticos'!$B$87:$L$120,2,0)*'Parametros Generales'!$C$7*R1234)*(2/3)</f>
        <v>1364440.0937526594</v>
      </c>
      <c r="Y1234" s="417"/>
      <c r="Z1234" s="417"/>
      <c r="AA1234" s="417"/>
      <c r="AB1234" s="417">
        <f>+M1234*'Parametros Generales'!$C$6*'Parametros Generales'!$J$9</f>
        <v>7790545.4545454569</v>
      </c>
      <c r="AC1234" s="417">
        <f>+H1234*'Parametros Generales'!$J$10*'Parametros Generales'!$C$6*'Parametros Generales'!$C$11</f>
        <v>29476997.534803249</v>
      </c>
      <c r="AD1234" s="417"/>
      <c r="AE1234" s="417"/>
      <c r="AF1234" s="417"/>
      <c r="AG1234" s="417"/>
      <c r="AH1234" s="417"/>
      <c r="AI1234" s="417"/>
      <c r="AJ1234" s="417"/>
      <c r="AK1234" s="436"/>
      <c r="AL1234" s="822"/>
    </row>
    <row r="1235" spans="1:38" s="33" customFormat="1" hidden="1" outlineLevel="1">
      <c r="A1235" s="1150"/>
      <c r="B1235" s="821">
        <f t="shared" ref="B1235:B1245" si="109">+B1234</f>
        <v>97</v>
      </c>
      <c r="C1235" s="371" t="str">
        <f t="shared" ref="C1235:C1245" si="110">+C1234</f>
        <v>VAUPÉS</v>
      </c>
      <c r="D1235" s="31"/>
      <c r="E1235" s="1111"/>
      <c r="F1235" s="1103"/>
      <c r="G1235" s="30"/>
      <c r="H1235" s="1090"/>
      <c r="I1235" s="1057"/>
      <c r="J1235" s="1058"/>
      <c r="K1235" s="1070" t="str">
        <f t="shared" si="105"/>
        <v>Ok</v>
      </c>
      <c r="L1235" s="1077">
        <f t="shared" si="106"/>
        <v>0</v>
      </c>
      <c r="M1235" s="1090">
        <f>+H1235/'Parametros Generales'!$C$8</f>
        <v>0</v>
      </c>
      <c r="N1235" s="1097"/>
      <c r="O1235" s="1097"/>
      <c r="P1235" s="1097"/>
      <c r="Q1235" s="1097"/>
      <c r="R1235" s="1097">
        <f>+(M1235/'Parametros Generales'!$C$9)</f>
        <v>0</v>
      </c>
      <c r="S1235" s="390"/>
      <c r="T1235" s="390"/>
      <c r="U1235" s="390"/>
      <c r="V1235" s="389"/>
      <c r="W1235" s="32">
        <f>+R1235*'Componentes T.H.'!$Q$9*'Parametros Generales'!$C$6</f>
        <v>0</v>
      </c>
      <c r="X1235" s="32">
        <f>(+VLOOKUP(C1235,'Transporte y Viaticos'!$B$87:$L$120,2,0)*'Parametros Generales'!$C$7*R1235)*(2/3)</f>
        <v>0</v>
      </c>
      <c r="Y1235" s="417"/>
      <c r="Z1235" s="417"/>
      <c r="AA1235" s="417"/>
      <c r="AB1235" s="417">
        <f>+M1235*'Parametros Generales'!$C$6*'Parametros Generales'!$J$9</f>
        <v>0</v>
      </c>
      <c r="AC1235" s="417">
        <f>+H1235*'Parametros Generales'!$J$10*'Parametros Generales'!$C$6*'Parametros Generales'!$C$11</f>
        <v>0</v>
      </c>
      <c r="AD1235" s="417"/>
      <c r="AE1235" s="417"/>
      <c r="AF1235" s="417"/>
      <c r="AG1235" s="417"/>
      <c r="AH1235" s="417"/>
      <c r="AI1235" s="417"/>
      <c r="AJ1235" s="417"/>
      <c r="AK1235" s="436"/>
      <c r="AL1235" s="822"/>
    </row>
    <row r="1236" spans="1:38" s="33" customFormat="1" hidden="1" outlineLevel="1">
      <c r="A1236" s="1150"/>
      <c r="B1236" s="821">
        <f t="shared" si="109"/>
        <v>97</v>
      </c>
      <c r="C1236" s="371" t="str">
        <f t="shared" si="110"/>
        <v>VAUPÉS</v>
      </c>
      <c r="D1236" s="31"/>
      <c r="E1236" s="1111"/>
      <c r="F1236" s="1103"/>
      <c r="G1236" s="30"/>
      <c r="H1236" s="1090"/>
      <c r="I1236" s="1057"/>
      <c r="J1236" s="1058"/>
      <c r="K1236" s="1070" t="str">
        <f t="shared" si="105"/>
        <v>Ok</v>
      </c>
      <c r="L1236" s="1076">
        <f t="shared" si="106"/>
        <v>0</v>
      </c>
      <c r="M1236" s="1090">
        <f>+H1236/'Parametros Generales'!$C$8</f>
        <v>0</v>
      </c>
      <c r="N1236" s="1097"/>
      <c r="O1236" s="1097"/>
      <c r="P1236" s="1097"/>
      <c r="Q1236" s="1097"/>
      <c r="R1236" s="1097">
        <f>+(M1236/'Parametros Generales'!$C$9)</f>
        <v>0</v>
      </c>
      <c r="S1236" s="390"/>
      <c r="T1236" s="390"/>
      <c r="U1236" s="390"/>
      <c r="V1236" s="389"/>
      <c r="W1236" s="32">
        <f>+R1236*'Componentes T.H.'!$Q$9*'Parametros Generales'!$C$6</f>
        <v>0</v>
      </c>
      <c r="X1236" s="32">
        <f>(+VLOOKUP(C1236,'Transporte y Viaticos'!$B$87:$L$120,2,0)*'Parametros Generales'!$C$7*R1236)*(2/3)</f>
        <v>0</v>
      </c>
      <c r="Y1236" s="417"/>
      <c r="Z1236" s="417"/>
      <c r="AA1236" s="417"/>
      <c r="AB1236" s="417">
        <f>+M1236*'Parametros Generales'!$C$6*'Parametros Generales'!$J$9</f>
        <v>0</v>
      </c>
      <c r="AC1236" s="417">
        <f>+H1236*'Parametros Generales'!$J$10*'Parametros Generales'!$C$6*'Parametros Generales'!$C$11</f>
        <v>0</v>
      </c>
      <c r="AD1236" s="417"/>
      <c r="AE1236" s="417"/>
      <c r="AF1236" s="417"/>
      <c r="AG1236" s="417"/>
      <c r="AH1236" s="417"/>
      <c r="AI1236" s="417"/>
      <c r="AJ1236" s="417"/>
      <c r="AK1236" s="436"/>
      <c r="AL1236" s="822"/>
    </row>
    <row r="1237" spans="1:38" s="33" customFormat="1" hidden="1" outlineLevel="1">
      <c r="A1237" s="1150"/>
      <c r="B1237" s="821">
        <f t="shared" si="109"/>
        <v>97</v>
      </c>
      <c r="C1237" s="371" t="str">
        <f t="shared" si="110"/>
        <v>VAUPÉS</v>
      </c>
      <c r="D1237" s="31"/>
      <c r="E1237" s="1111"/>
      <c r="F1237" s="1103"/>
      <c r="G1237" s="30"/>
      <c r="H1237" s="1090"/>
      <c r="I1237" s="1057"/>
      <c r="J1237" s="1058"/>
      <c r="K1237" s="1070" t="str">
        <f t="shared" si="105"/>
        <v>Ok</v>
      </c>
      <c r="L1237" s="1077">
        <f t="shared" si="106"/>
        <v>0</v>
      </c>
      <c r="M1237" s="1090">
        <f>+H1237/'Parametros Generales'!$C$8</f>
        <v>0</v>
      </c>
      <c r="N1237" s="1097"/>
      <c r="O1237" s="1097"/>
      <c r="P1237" s="1097"/>
      <c r="Q1237" s="1097"/>
      <c r="R1237" s="1097">
        <f>+(M1237/'Parametros Generales'!$C$9)</f>
        <v>0</v>
      </c>
      <c r="S1237" s="390"/>
      <c r="T1237" s="390"/>
      <c r="U1237" s="390"/>
      <c r="V1237" s="389"/>
      <c r="W1237" s="32">
        <f>+R1237*'Componentes T.H.'!$Q$9*'Parametros Generales'!$C$6</f>
        <v>0</v>
      </c>
      <c r="X1237" s="32">
        <f>(+VLOOKUP(C1237,'Transporte y Viaticos'!$B$87:$L$120,2,0)*'Parametros Generales'!$C$7*R1237)*(2/3)</f>
        <v>0</v>
      </c>
      <c r="Y1237" s="417"/>
      <c r="Z1237" s="417"/>
      <c r="AA1237" s="417"/>
      <c r="AB1237" s="417">
        <f>+M1237*'Parametros Generales'!$C$6*'Parametros Generales'!$J$9</f>
        <v>0</v>
      </c>
      <c r="AC1237" s="417">
        <f>+H1237*'Parametros Generales'!$J$10*'Parametros Generales'!$C$6*'Parametros Generales'!$C$11</f>
        <v>0</v>
      </c>
      <c r="AD1237" s="417"/>
      <c r="AE1237" s="417"/>
      <c r="AF1237" s="417"/>
      <c r="AG1237" s="417"/>
      <c r="AH1237" s="417"/>
      <c r="AI1237" s="417"/>
      <c r="AJ1237" s="417"/>
      <c r="AK1237" s="436"/>
      <c r="AL1237" s="822"/>
    </row>
    <row r="1238" spans="1:38" s="33" customFormat="1" hidden="1" outlineLevel="1">
      <c r="A1238" s="1150"/>
      <c r="B1238" s="821">
        <f t="shared" si="109"/>
        <v>97</v>
      </c>
      <c r="C1238" s="371" t="str">
        <f t="shared" si="110"/>
        <v>VAUPÉS</v>
      </c>
      <c r="D1238" s="31"/>
      <c r="E1238" s="1111"/>
      <c r="F1238" s="1103"/>
      <c r="G1238" s="30"/>
      <c r="H1238" s="1090"/>
      <c r="I1238" s="1057"/>
      <c r="J1238" s="1058"/>
      <c r="K1238" s="1070" t="str">
        <f t="shared" si="105"/>
        <v>Ok</v>
      </c>
      <c r="L1238" s="1077">
        <f t="shared" si="106"/>
        <v>0</v>
      </c>
      <c r="M1238" s="1090">
        <f>+H1238/'Parametros Generales'!$C$8</f>
        <v>0</v>
      </c>
      <c r="N1238" s="1097"/>
      <c r="O1238" s="1097"/>
      <c r="P1238" s="1097"/>
      <c r="Q1238" s="1097"/>
      <c r="R1238" s="1097">
        <f>+(M1238/'Parametros Generales'!$C$9)</f>
        <v>0</v>
      </c>
      <c r="S1238" s="390"/>
      <c r="T1238" s="390"/>
      <c r="U1238" s="390"/>
      <c r="V1238" s="389"/>
      <c r="W1238" s="32">
        <f>+R1238*'Componentes T.H.'!$Q$9*'Parametros Generales'!$C$6</f>
        <v>0</v>
      </c>
      <c r="X1238" s="32">
        <f>(+VLOOKUP(C1238,'Transporte y Viaticos'!$B$87:$L$120,2,0)*'Parametros Generales'!$C$7*R1238)*(2/3)</f>
        <v>0</v>
      </c>
      <c r="Y1238" s="417"/>
      <c r="Z1238" s="417"/>
      <c r="AA1238" s="417"/>
      <c r="AB1238" s="417">
        <f>+M1238*'Parametros Generales'!$C$6*'Parametros Generales'!$J$9</f>
        <v>0</v>
      </c>
      <c r="AC1238" s="417">
        <f>+H1238*'Parametros Generales'!$J$10*'Parametros Generales'!$C$6*'Parametros Generales'!$C$11</f>
        <v>0</v>
      </c>
      <c r="AD1238" s="417"/>
      <c r="AE1238" s="417"/>
      <c r="AF1238" s="417"/>
      <c r="AG1238" s="417"/>
      <c r="AH1238" s="417"/>
      <c r="AI1238" s="417"/>
      <c r="AJ1238" s="417"/>
      <c r="AK1238" s="436"/>
      <c r="AL1238" s="822"/>
    </row>
    <row r="1239" spans="1:38" s="33" customFormat="1" hidden="1" outlineLevel="1">
      <c r="A1239" s="1150"/>
      <c r="B1239" s="821">
        <f t="shared" si="109"/>
        <v>97</v>
      </c>
      <c r="C1239" s="371" t="str">
        <f t="shared" si="110"/>
        <v>VAUPÉS</v>
      </c>
      <c r="D1239" s="31"/>
      <c r="E1239" s="1111"/>
      <c r="F1239" s="1103"/>
      <c r="G1239" s="30"/>
      <c r="H1239" s="1090"/>
      <c r="I1239" s="1057"/>
      <c r="J1239" s="1058"/>
      <c r="K1239" s="1070" t="str">
        <f t="shared" si="105"/>
        <v>Ok</v>
      </c>
      <c r="L1239" s="1077">
        <f t="shared" si="106"/>
        <v>0</v>
      </c>
      <c r="M1239" s="1090">
        <f>+H1239/'Parametros Generales'!$C$8</f>
        <v>0</v>
      </c>
      <c r="N1239" s="1097"/>
      <c r="O1239" s="1097"/>
      <c r="P1239" s="1097"/>
      <c r="Q1239" s="1097"/>
      <c r="R1239" s="1097">
        <f>+(M1239/'Parametros Generales'!$C$9)</f>
        <v>0</v>
      </c>
      <c r="S1239" s="390"/>
      <c r="T1239" s="390"/>
      <c r="U1239" s="390"/>
      <c r="V1239" s="389"/>
      <c r="W1239" s="32">
        <f>+R1239*'Componentes T.H.'!$Q$9*'Parametros Generales'!$C$6</f>
        <v>0</v>
      </c>
      <c r="X1239" s="32">
        <f>(+VLOOKUP(C1239,'Transporte y Viaticos'!$B$87:$L$120,2,0)*'Parametros Generales'!$C$7*R1239)*(2/3)</f>
        <v>0</v>
      </c>
      <c r="Y1239" s="417"/>
      <c r="Z1239" s="417"/>
      <c r="AA1239" s="417"/>
      <c r="AB1239" s="417">
        <f>+M1239*'Parametros Generales'!$C$6*'Parametros Generales'!$J$9</f>
        <v>0</v>
      </c>
      <c r="AC1239" s="417">
        <f>+H1239*'Parametros Generales'!$J$10*'Parametros Generales'!$C$6*'Parametros Generales'!$C$11</f>
        <v>0</v>
      </c>
      <c r="AD1239" s="417"/>
      <c r="AE1239" s="417"/>
      <c r="AF1239" s="417"/>
      <c r="AG1239" s="417"/>
      <c r="AH1239" s="417"/>
      <c r="AI1239" s="417"/>
      <c r="AJ1239" s="417"/>
      <c r="AK1239" s="436"/>
      <c r="AL1239" s="822"/>
    </row>
    <row r="1240" spans="1:38" s="33" customFormat="1" hidden="1" outlineLevel="1">
      <c r="A1240" s="1150"/>
      <c r="B1240" s="821">
        <f t="shared" si="109"/>
        <v>97</v>
      </c>
      <c r="C1240" s="371" t="str">
        <f t="shared" si="110"/>
        <v>VAUPÉS</v>
      </c>
      <c r="D1240" s="31"/>
      <c r="E1240" s="1111"/>
      <c r="F1240" s="1103"/>
      <c r="G1240" s="30"/>
      <c r="H1240" s="1090"/>
      <c r="I1240" s="1057"/>
      <c r="J1240" s="1058"/>
      <c r="K1240" s="1070" t="str">
        <f t="shared" si="105"/>
        <v>Ok</v>
      </c>
      <c r="L1240" s="1077">
        <f t="shared" si="106"/>
        <v>0</v>
      </c>
      <c r="M1240" s="1090">
        <f>+H1240/'Parametros Generales'!$C$8</f>
        <v>0</v>
      </c>
      <c r="N1240" s="1097"/>
      <c r="O1240" s="1097"/>
      <c r="P1240" s="1097"/>
      <c r="Q1240" s="1097"/>
      <c r="R1240" s="1097">
        <f>+(M1240/'Parametros Generales'!$C$9)</f>
        <v>0</v>
      </c>
      <c r="S1240" s="390"/>
      <c r="T1240" s="390"/>
      <c r="U1240" s="390"/>
      <c r="V1240" s="389"/>
      <c r="W1240" s="32">
        <f>+R1240*'Componentes T.H.'!$Q$9*'Parametros Generales'!$C$6</f>
        <v>0</v>
      </c>
      <c r="X1240" s="32">
        <f>(+VLOOKUP(C1240,'Transporte y Viaticos'!$B$87:$L$120,2,0)*'Parametros Generales'!$C$7*R1240)*(2/3)</f>
        <v>0</v>
      </c>
      <c r="Y1240" s="417"/>
      <c r="Z1240" s="417"/>
      <c r="AA1240" s="417"/>
      <c r="AB1240" s="417">
        <f>+M1240*'Parametros Generales'!$C$6*'Parametros Generales'!$J$9</f>
        <v>0</v>
      </c>
      <c r="AC1240" s="417">
        <f>+H1240*'Parametros Generales'!$J$10*'Parametros Generales'!$C$6*'Parametros Generales'!$C$11</f>
        <v>0</v>
      </c>
      <c r="AD1240" s="417"/>
      <c r="AE1240" s="417"/>
      <c r="AF1240" s="417"/>
      <c r="AG1240" s="417"/>
      <c r="AH1240" s="417"/>
      <c r="AI1240" s="417"/>
      <c r="AJ1240" s="417"/>
      <c r="AK1240" s="436"/>
      <c r="AL1240" s="822"/>
    </row>
    <row r="1241" spans="1:38" s="33" customFormat="1" hidden="1" outlineLevel="1">
      <c r="A1241" s="1150"/>
      <c r="B1241" s="821">
        <f t="shared" si="109"/>
        <v>97</v>
      </c>
      <c r="C1241" s="371" t="str">
        <f t="shared" si="110"/>
        <v>VAUPÉS</v>
      </c>
      <c r="D1241" s="31"/>
      <c r="E1241" s="1111"/>
      <c r="F1241" s="1103"/>
      <c r="G1241" s="30"/>
      <c r="H1241" s="1090"/>
      <c r="I1241" s="1057"/>
      <c r="J1241" s="1058"/>
      <c r="K1241" s="1070" t="str">
        <f t="shared" si="105"/>
        <v>Ok</v>
      </c>
      <c r="L1241" s="1077">
        <f t="shared" si="106"/>
        <v>0</v>
      </c>
      <c r="M1241" s="1090">
        <f>+H1241/'Parametros Generales'!$C$8</f>
        <v>0</v>
      </c>
      <c r="N1241" s="1097"/>
      <c r="O1241" s="1097"/>
      <c r="P1241" s="1097"/>
      <c r="Q1241" s="1097"/>
      <c r="R1241" s="1097">
        <f>+(M1241/'Parametros Generales'!$C$9)</f>
        <v>0</v>
      </c>
      <c r="S1241" s="390"/>
      <c r="T1241" s="390"/>
      <c r="U1241" s="390"/>
      <c r="V1241" s="389"/>
      <c r="W1241" s="32">
        <f>+R1241*'Componentes T.H.'!$Q$9*'Parametros Generales'!$C$6</f>
        <v>0</v>
      </c>
      <c r="X1241" s="32">
        <f>(+VLOOKUP(C1241,'Transporte y Viaticos'!$B$87:$L$120,2,0)*'Parametros Generales'!$C$7*R1241)*(2/3)</f>
        <v>0</v>
      </c>
      <c r="Y1241" s="417"/>
      <c r="Z1241" s="417"/>
      <c r="AA1241" s="417"/>
      <c r="AB1241" s="417">
        <f>+M1241*'Parametros Generales'!$C$6*'Parametros Generales'!$J$9</f>
        <v>0</v>
      </c>
      <c r="AC1241" s="417">
        <f>+H1241*'Parametros Generales'!$J$10*'Parametros Generales'!$C$6*'Parametros Generales'!$C$11</f>
        <v>0</v>
      </c>
      <c r="AD1241" s="417"/>
      <c r="AE1241" s="417"/>
      <c r="AF1241" s="417"/>
      <c r="AG1241" s="417"/>
      <c r="AH1241" s="417"/>
      <c r="AI1241" s="417"/>
      <c r="AJ1241" s="417"/>
      <c r="AK1241" s="436"/>
      <c r="AL1241" s="822"/>
    </row>
    <row r="1242" spans="1:38" s="33" customFormat="1" hidden="1" outlineLevel="1">
      <c r="A1242" s="1150"/>
      <c r="B1242" s="821">
        <f t="shared" si="109"/>
        <v>97</v>
      </c>
      <c r="C1242" s="371" t="str">
        <f t="shared" si="110"/>
        <v>VAUPÉS</v>
      </c>
      <c r="D1242" s="31"/>
      <c r="E1242" s="1111"/>
      <c r="F1242" s="1103"/>
      <c r="G1242" s="30"/>
      <c r="H1242" s="1090"/>
      <c r="I1242" s="1057"/>
      <c r="J1242" s="1058"/>
      <c r="K1242" s="1070" t="str">
        <f t="shared" si="105"/>
        <v>Ok</v>
      </c>
      <c r="L1242" s="1077">
        <f t="shared" si="106"/>
        <v>0</v>
      </c>
      <c r="M1242" s="1090">
        <f>+H1242/'Parametros Generales'!$C$8</f>
        <v>0</v>
      </c>
      <c r="N1242" s="1097"/>
      <c r="O1242" s="1097"/>
      <c r="P1242" s="1097"/>
      <c r="Q1242" s="1097"/>
      <c r="R1242" s="1097">
        <f>+(M1242/'Parametros Generales'!$C$9)</f>
        <v>0</v>
      </c>
      <c r="S1242" s="390"/>
      <c r="T1242" s="390"/>
      <c r="U1242" s="390"/>
      <c r="V1242" s="389"/>
      <c r="W1242" s="32">
        <f>+R1242*'Componentes T.H.'!$Q$9*'Parametros Generales'!$C$6</f>
        <v>0</v>
      </c>
      <c r="X1242" s="32">
        <f>(+VLOOKUP(C1242,'Transporte y Viaticos'!$B$87:$L$120,2,0)*'Parametros Generales'!$C$7*R1242)*(2/3)</f>
        <v>0</v>
      </c>
      <c r="Y1242" s="417"/>
      <c r="Z1242" s="417"/>
      <c r="AA1242" s="417"/>
      <c r="AB1242" s="417">
        <f>+M1242*'Parametros Generales'!$C$6*'Parametros Generales'!$J$9</f>
        <v>0</v>
      </c>
      <c r="AC1242" s="417">
        <f>+H1242*'Parametros Generales'!$J$10*'Parametros Generales'!$C$6*'Parametros Generales'!$C$11</f>
        <v>0</v>
      </c>
      <c r="AD1242" s="417"/>
      <c r="AE1242" s="417"/>
      <c r="AF1242" s="417"/>
      <c r="AG1242" s="417"/>
      <c r="AH1242" s="417"/>
      <c r="AI1242" s="417"/>
      <c r="AJ1242" s="417"/>
      <c r="AK1242" s="436"/>
      <c r="AL1242" s="822"/>
    </row>
    <row r="1243" spans="1:38" s="33" customFormat="1" hidden="1" outlineLevel="1">
      <c r="A1243" s="1150"/>
      <c r="B1243" s="821">
        <f t="shared" si="109"/>
        <v>97</v>
      </c>
      <c r="C1243" s="371" t="str">
        <f t="shared" si="110"/>
        <v>VAUPÉS</v>
      </c>
      <c r="D1243" s="31"/>
      <c r="E1243" s="1111"/>
      <c r="F1243" s="1103"/>
      <c r="G1243" s="30"/>
      <c r="H1243" s="1090"/>
      <c r="I1243" s="1057"/>
      <c r="J1243" s="1058"/>
      <c r="K1243" s="1070" t="str">
        <f t="shared" si="105"/>
        <v>Ok</v>
      </c>
      <c r="L1243" s="1077">
        <f t="shared" si="106"/>
        <v>0</v>
      </c>
      <c r="M1243" s="1090">
        <f>+H1243/'Parametros Generales'!$C$8</f>
        <v>0</v>
      </c>
      <c r="N1243" s="1097"/>
      <c r="O1243" s="1097"/>
      <c r="P1243" s="1097"/>
      <c r="Q1243" s="1097"/>
      <c r="R1243" s="1097">
        <f>+(M1243/'Parametros Generales'!$C$9)</f>
        <v>0</v>
      </c>
      <c r="S1243" s="390"/>
      <c r="T1243" s="390"/>
      <c r="U1243" s="390"/>
      <c r="V1243" s="389"/>
      <c r="W1243" s="32">
        <f>+R1243*'Componentes T.H.'!$Q$9*'Parametros Generales'!$C$6</f>
        <v>0</v>
      </c>
      <c r="X1243" s="32">
        <f>(+VLOOKUP(C1243,'Transporte y Viaticos'!$B$87:$L$120,2,0)*'Parametros Generales'!$C$7*R1243)*(2/3)</f>
        <v>0</v>
      </c>
      <c r="Y1243" s="417"/>
      <c r="Z1243" s="417"/>
      <c r="AA1243" s="417"/>
      <c r="AB1243" s="417">
        <f>+M1243*'Parametros Generales'!$C$6*'Parametros Generales'!$J$9</f>
        <v>0</v>
      </c>
      <c r="AC1243" s="417">
        <f>+H1243*'Parametros Generales'!$J$10*'Parametros Generales'!$C$6*'Parametros Generales'!$C$11</f>
        <v>0</v>
      </c>
      <c r="AD1243" s="417"/>
      <c r="AE1243" s="417"/>
      <c r="AF1243" s="417"/>
      <c r="AG1243" s="417"/>
      <c r="AH1243" s="417"/>
      <c r="AI1243" s="417"/>
      <c r="AJ1243" s="417"/>
      <c r="AK1243" s="436"/>
      <c r="AL1243" s="822"/>
    </row>
    <row r="1244" spans="1:38" s="33" customFormat="1" hidden="1" outlineLevel="1">
      <c r="A1244" s="1150"/>
      <c r="B1244" s="821">
        <f t="shared" si="109"/>
        <v>97</v>
      </c>
      <c r="C1244" s="371" t="str">
        <f t="shared" si="110"/>
        <v>VAUPÉS</v>
      </c>
      <c r="D1244" s="31"/>
      <c r="E1244" s="1111"/>
      <c r="F1244" s="1103"/>
      <c r="G1244" s="30"/>
      <c r="H1244" s="1090"/>
      <c r="I1244" s="1057"/>
      <c r="J1244" s="1058"/>
      <c r="K1244" s="1070" t="str">
        <f t="shared" si="105"/>
        <v>Ok</v>
      </c>
      <c r="L1244" s="1077">
        <f t="shared" si="106"/>
        <v>0</v>
      </c>
      <c r="M1244" s="1090">
        <f>+H1244/'Parametros Generales'!$C$8</f>
        <v>0</v>
      </c>
      <c r="N1244" s="1097"/>
      <c r="O1244" s="1097"/>
      <c r="P1244" s="1097"/>
      <c r="Q1244" s="1097"/>
      <c r="R1244" s="1097">
        <f>+(M1244/'Parametros Generales'!$C$9)</f>
        <v>0</v>
      </c>
      <c r="S1244" s="390"/>
      <c r="T1244" s="390"/>
      <c r="U1244" s="390"/>
      <c r="V1244" s="389"/>
      <c r="W1244" s="32">
        <f>+R1244*'Componentes T.H.'!$Q$9*'Parametros Generales'!$C$6</f>
        <v>0</v>
      </c>
      <c r="X1244" s="32">
        <f>(+VLOOKUP(C1244,'Transporte y Viaticos'!$B$87:$L$120,2,0)*'Parametros Generales'!$C$7*R1244)*(2/3)</f>
        <v>0</v>
      </c>
      <c r="Y1244" s="417"/>
      <c r="Z1244" s="417"/>
      <c r="AA1244" s="417"/>
      <c r="AB1244" s="417">
        <f>+M1244*'Parametros Generales'!$C$6*'Parametros Generales'!$J$9</f>
        <v>0</v>
      </c>
      <c r="AC1244" s="417">
        <f>+H1244*'Parametros Generales'!$J$10*'Parametros Generales'!$C$6*'Parametros Generales'!$C$11</f>
        <v>0</v>
      </c>
      <c r="AD1244" s="417"/>
      <c r="AE1244" s="417"/>
      <c r="AF1244" s="417"/>
      <c r="AG1244" s="417"/>
      <c r="AH1244" s="417"/>
      <c r="AI1244" s="417"/>
      <c r="AJ1244" s="417"/>
      <c r="AK1244" s="436"/>
      <c r="AL1244" s="822"/>
    </row>
    <row r="1245" spans="1:38" s="33" customFormat="1" hidden="1" outlineLevel="1">
      <c r="A1245" s="1150"/>
      <c r="B1245" s="825">
        <f t="shared" si="109"/>
        <v>97</v>
      </c>
      <c r="C1245" s="381" t="str">
        <f t="shared" si="110"/>
        <v>VAUPÉS</v>
      </c>
      <c r="D1245" s="382"/>
      <c r="E1245" s="1123"/>
      <c r="F1245" s="1106"/>
      <c r="G1245" s="383"/>
      <c r="H1245" s="1065"/>
      <c r="I1245" s="1057"/>
      <c r="J1245" s="1058"/>
      <c r="K1245" s="1070" t="str">
        <f t="shared" si="105"/>
        <v>Ok</v>
      </c>
      <c r="L1245" s="1077">
        <f t="shared" si="106"/>
        <v>0</v>
      </c>
      <c r="M1245" s="1090">
        <f>+H1245/'Parametros Generales'!$C$8</f>
        <v>0</v>
      </c>
      <c r="N1245" s="1097"/>
      <c r="O1245" s="1097"/>
      <c r="P1245" s="1097"/>
      <c r="Q1245" s="1097"/>
      <c r="R1245" s="1097">
        <f>+(M1245/'Parametros Generales'!$C$9)</f>
        <v>0</v>
      </c>
      <c r="S1245" s="390"/>
      <c r="T1245" s="390"/>
      <c r="U1245" s="390"/>
      <c r="V1245" s="389"/>
      <c r="W1245" s="32">
        <f>+R1245*'Componentes T.H.'!$Q$9*'Parametros Generales'!$C$6</f>
        <v>0</v>
      </c>
      <c r="X1245" s="32">
        <f>(+VLOOKUP(C1245,'Transporte y Viaticos'!$B$87:$L$120,2,0)*'Parametros Generales'!$C$7*R1245)*(2/3)</f>
        <v>0</v>
      </c>
      <c r="Y1245" s="417"/>
      <c r="Z1245" s="417"/>
      <c r="AA1245" s="417"/>
      <c r="AB1245" s="417">
        <f>+M1245*'Parametros Generales'!$C$6*'Parametros Generales'!$J$9</f>
        <v>0</v>
      </c>
      <c r="AC1245" s="417">
        <f>+H1245*'Parametros Generales'!$J$10*'Parametros Generales'!$C$6*'Parametros Generales'!$C$11</f>
        <v>0</v>
      </c>
      <c r="AD1245" s="417"/>
      <c r="AE1245" s="417"/>
      <c r="AF1245" s="417"/>
      <c r="AG1245" s="417"/>
      <c r="AH1245" s="417"/>
      <c r="AI1245" s="417"/>
      <c r="AJ1245" s="417"/>
      <c r="AK1245" s="436"/>
      <c r="AL1245" s="822"/>
    </row>
    <row r="1246" spans="1:38" s="392" customFormat="1" collapsed="1">
      <c r="A1246" s="1151">
        <v>34</v>
      </c>
      <c r="B1246" s="824">
        <v>99</v>
      </c>
      <c r="C1246" s="385" t="s">
        <v>751</v>
      </c>
      <c r="D1246" s="386"/>
      <c r="E1246" s="1114" t="s">
        <v>751</v>
      </c>
      <c r="F1246" s="1105">
        <f>SUM(F1247:F1262)</f>
        <v>3</v>
      </c>
      <c r="G1246" s="388">
        <f>+SUM(G1247:G1249)</f>
        <v>429</v>
      </c>
      <c r="H1246" s="512">
        <f>+SUM(H1247:H1262)</f>
        <v>650</v>
      </c>
      <c r="I1246" s="1057" t="s">
        <v>751</v>
      </c>
      <c r="J1246" s="1067">
        <v>650</v>
      </c>
      <c r="K1246" s="1069" t="str">
        <f t="shared" si="105"/>
        <v>Ok</v>
      </c>
      <c r="L1246" s="1077">
        <f t="shared" si="106"/>
        <v>0</v>
      </c>
      <c r="M1246" s="512">
        <f>+SUM(M1247:M1262)</f>
        <v>26</v>
      </c>
      <c r="N1246" s="1073">
        <f>+VLOOKUP(H1246,'Parametros Generales'!$B$14:$D$17,3,TRUE)</f>
        <v>0.4</v>
      </c>
      <c r="O1246" s="1073">
        <f>+VLOOKUP(H1246,'Parametros Generales'!$B$14:$D$17,3,TRUE)</f>
        <v>0.4</v>
      </c>
      <c r="P1246" s="1073">
        <f>+VLOOKUP(H1246,'Parametros Generales'!$B$14:$D$17,3,TRUE)</f>
        <v>0.4</v>
      </c>
      <c r="Q1246" s="1073">
        <f>+R1246/'Parametros Generales'!$C$10</f>
        <v>0.8125</v>
      </c>
      <c r="R1246" s="512">
        <f>+SUM(R1247:R1262)</f>
        <v>6.5</v>
      </c>
      <c r="S1246" s="390">
        <f>+VLOOKUP(S$1,'Componentes T.H.'!$B$4:$R$22,'Componentes T.H.'!$Q$1,0)*'Parametros Generales'!$C$6*'Cost x Depart'!N1246</f>
        <v>5862705.6550666681</v>
      </c>
      <c r="T1246" s="390">
        <f>+VLOOKUP(T$1,'Componentes T.H.'!$B$4:$R$22,'Componentes T.H.'!$Q$1,0)*'Parametros Generales'!$C$6*'Cost x Depart'!O1246</f>
        <v>4417526.2636000002</v>
      </c>
      <c r="U1246" s="390">
        <f>+VLOOKUP(U$1,'Componentes T.H.'!$B$4:$R$22,'Componentes T.H.'!$Q$1,0)*'Parametros Generales'!$C$6*'Cost x Depart'!P1246</f>
        <v>1956172.8</v>
      </c>
      <c r="V1246" s="389">
        <f>+VLOOKUP(V$1,'Componentes T.H.'!$B$4:$R$22,'Componentes T.H.'!$Q$1,0)*'Parametros Generales'!$C$6*'Cost x Depart'!Q1246</f>
        <v>8117726.1216458334</v>
      </c>
      <c r="W1246" s="512">
        <f>+SUM(W1247:W1262)</f>
        <v>32620295.961499996</v>
      </c>
      <c r="X1246" s="512">
        <f>+SUM(X1247:X1262)</f>
        <v>1897256.2577589476</v>
      </c>
      <c r="Y1246" s="391">
        <f>+VLOOKUP(C1247,'Transporte y Viaticos'!$B$87:$F$120,2,0)*((O1246/'Parametros Generales'!$J$14)+(Q1246/'Parametros Generales'!$J$15)+(R1246/'Parametros Generales'!$J$16))*'Parametros Generales'!$C$6</f>
        <v>97690.454425953503</v>
      </c>
      <c r="Z1246" s="391">
        <f>+(N1246+O1246+Q1246)*'Parametros Generales'!$C$6*'Parametros Generales'!$J$7</f>
        <v>317049.75</v>
      </c>
      <c r="AA1246" s="391">
        <f>+SUM(N1246:R1246)*'Parametros Generales'!$C$6*'Parametros Generales'!$J$8</f>
        <v>1527993.75</v>
      </c>
      <c r="AB1246" s="512">
        <f>+SUM(AB1247:AB1262)</f>
        <v>12659636.363636367</v>
      </c>
      <c r="AC1246" s="512">
        <f>+SUM(AC1247:AC1262)</f>
        <v>47900120.994055286</v>
      </c>
      <c r="AD1246" s="391">
        <f>+'Parametros Generales'!$J$11*SUM(N1246:R1246)</f>
        <v>286360.5</v>
      </c>
      <c r="AE1246" s="436">
        <f>+SUM(S1246:AD1246)</f>
        <v>117660534.87168905</v>
      </c>
      <c r="AF1246" s="391">
        <f>+AE1246*(SUM('Res de Costos Pais'!G117:G117))</f>
        <v>8059746.6387107009</v>
      </c>
      <c r="AG1246" s="391">
        <f>+AE1246+AF1246</f>
        <v>125720281.51039976</v>
      </c>
      <c r="AH1246" s="391">
        <f>+AG1246*SUM('Res de Costos Pais'!$G$123:$G$124)</f>
        <v>1214457.9193904616</v>
      </c>
      <c r="AI1246" s="391">
        <f>+(AG1246+AH1246)*'Res de Costos Pais'!$G$136</f>
        <v>342723.79646043357</v>
      </c>
      <c r="AJ1246" s="391">
        <f>+(AG1246+AH1246+AI1246)*'Res de Costos Pais'!$G$140</f>
        <v>509109.8529050026</v>
      </c>
      <c r="AK1246" s="391">
        <f>+AG1246+AH1246+AI1246+AJ1246</f>
        <v>127786573.07915565</v>
      </c>
      <c r="AL1246" s="820">
        <f>IF(ISERROR((+(AK1246/H1246)/'Parametros Generales'!$C$6)),0,(+(AK1246/H1246)/'Parametros Generales'!$C$6))</f>
        <v>39318.94556281712</v>
      </c>
    </row>
    <row r="1247" spans="1:38" s="33" customFormat="1" hidden="1" outlineLevel="1">
      <c r="A1247" s="1150"/>
      <c r="B1247" s="819">
        <v>99</v>
      </c>
      <c r="C1247" s="377" t="s">
        <v>751</v>
      </c>
      <c r="D1247" s="378">
        <f>+VLOOKUP(E1247,Codigos!$A$1:$B$1123,2,0)</f>
        <v>99001</v>
      </c>
      <c r="E1247" s="1110" t="s">
        <v>2317</v>
      </c>
      <c r="F1247" s="1102">
        <v>1</v>
      </c>
      <c r="G1247" s="379">
        <v>198</v>
      </c>
      <c r="H1247" s="1060">
        <f>CEILING(G1247,'Parametros Generales'!$C$8)</f>
        <v>200</v>
      </c>
      <c r="I1247" s="1057" t="s">
        <v>752</v>
      </c>
      <c r="J1247" s="1058">
        <v>200</v>
      </c>
      <c r="K1247" s="1070" t="str">
        <f t="shared" si="105"/>
        <v>Ok</v>
      </c>
      <c r="L1247" s="1077">
        <f t="shared" si="106"/>
        <v>0</v>
      </c>
      <c r="M1247" s="1089">
        <f>+H1247/'Parametros Generales'!$C$8</f>
        <v>8</v>
      </c>
      <c r="N1247" s="1096"/>
      <c r="O1247" s="1096"/>
      <c r="P1247" s="1096"/>
      <c r="Q1247" s="1096"/>
      <c r="R1247" s="1096">
        <f>+(M1247/'Parametros Generales'!$C$9)</f>
        <v>2</v>
      </c>
      <c r="S1247" s="393"/>
      <c r="T1247" s="393"/>
      <c r="U1247" s="393"/>
      <c r="V1247" s="394"/>
      <c r="W1247" s="380">
        <f>+R1247*'Componentes T.H.'!$Q$9*'Parametros Generales'!$C$6</f>
        <v>10037014.142000001</v>
      </c>
      <c r="X1247" s="380">
        <f>(+VLOOKUP(C1247,'Transporte y Viaticos'!$B$87:$L$120,2,0)*'Parametros Generales'!$C$7*R1247)*(2/3)</f>
        <v>583771.15623352234</v>
      </c>
      <c r="Y1247" s="417"/>
      <c r="Z1247" s="417"/>
      <c r="AA1247" s="417"/>
      <c r="AB1247" s="417">
        <f>+M1247*'Parametros Generales'!$C$6*'Parametros Generales'!$J$9</f>
        <v>3895272.7272727285</v>
      </c>
      <c r="AC1247" s="417">
        <f>+H1247*'Parametros Generales'!$J$10*'Parametros Generales'!$C$6*'Parametros Generales'!$C$11</f>
        <v>14738498.767401624</v>
      </c>
      <c r="AD1247" s="417"/>
      <c r="AE1247" s="417"/>
      <c r="AF1247" s="417"/>
      <c r="AG1247" s="417"/>
      <c r="AH1247" s="417"/>
      <c r="AI1247" s="417"/>
      <c r="AJ1247" s="417"/>
      <c r="AK1247" s="436"/>
      <c r="AL1247" s="822"/>
    </row>
    <row r="1248" spans="1:38" s="33" customFormat="1" hidden="1" outlineLevel="1">
      <c r="A1248" s="1150"/>
      <c r="B1248" s="825"/>
      <c r="C1248" s="381" t="str">
        <f>+C1247</f>
        <v>VICHADA</v>
      </c>
      <c r="D1248" s="382"/>
      <c r="E1248" s="1123" t="s">
        <v>1205</v>
      </c>
      <c r="F1248" s="1106">
        <v>1</v>
      </c>
      <c r="G1248" s="383">
        <v>0</v>
      </c>
      <c r="H1248" s="1065">
        <v>100</v>
      </c>
      <c r="I1248" s="1057" t="s">
        <v>1205</v>
      </c>
      <c r="J1248" s="1058">
        <v>100</v>
      </c>
      <c r="K1248" s="1070" t="str">
        <f t="shared" si="105"/>
        <v>Ok</v>
      </c>
      <c r="L1248" s="1077">
        <f t="shared" si="106"/>
        <v>0</v>
      </c>
      <c r="M1248" s="1092">
        <f>+H1248/'Parametros Generales'!$C$8</f>
        <v>4</v>
      </c>
      <c r="N1248" s="1099"/>
      <c r="O1248" s="1099"/>
      <c r="P1248" s="1099"/>
      <c r="Q1248" s="1099"/>
      <c r="R1248" s="1099">
        <f>+(M1248/'Parametros Generales'!$C$9)</f>
        <v>1</v>
      </c>
      <c r="S1248" s="397"/>
      <c r="T1248" s="397"/>
      <c r="U1248" s="397"/>
      <c r="V1248" s="398"/>
      <c r="W1248" s="384">
        <f>+R1248*'Componentes T.H.'!$Q$9*'Parametros Generales'!$C$6</f>
        <v>5018507.0710000005</v>
      </c>
      <c r="X1248" s="384">
        <f>(+VLOOKUP(C1248,'Transporte y Viaticos'!$B$87:$L$120,2,0)*'Parametros Generales'!$C$7*R1248)*(2/3)</f>
        <v>291885.57811676117</v>
      </c>
      <c r="Y1248" s="417"/>
      <c r="Z1248" s="417"/>
      <c r="AA1248" s="417"/>
      <c r="AB1248" s="417">
        <f>+M1248*'Parametros Generales'!$C$6*'Parametros Generales'!$J$9</f>
        <v>1947636.3636363642</v>
      </c>
      <c r="AC1248" s="417">
        <f>+H1248*'Parametros Generales'!$J$10*'Parametros Generales'!$C$6*'Parametros Generales'!$C$11</f>
        <v>7369249.3837008122</v>
      </c>
      <c r="AD1248" s="417"/>
      <c r="AE1248" s="417"/>
      <c r="AF1248" s="417"/>
      <c r="AG1248" s="417"/>
      <c r="AH1248" s="417"/>
      <c r="AI1248" s="417"/>
      <c r="AJ1248" s="417"/>
      <c r="AK1248" s="436"/>
      <c r="AL1248" s="822"/>
    </row>
    <row r="1249" spans="1:38" s="33" customFormat="1" hidden="1" outlineLevel="1">
      <c r="A1249" s="1150"/>
      <c r="B1249" s="823">
        <v>99</v>
      </c>
      <c r="C1249" s="373" t="s">
        <v>751</v>
      </c>
      <c r="D1249" s="374">
        <f>+VLOOKUP(E1249,Codigos!$A$1:$B$1123,2,0)</f>
        <v>99773</v>
      </c>
      <c r="E1249" s="1113" t="s">
        <v>2318</v>
      </c>
      <c r="F1249" s="1104">
        <v>1</v>
      </c>
      <c r="G1249" s="375">
        <v>231</v>
      </c>
      <c r="H1249" s="1062">
        <f>CEILING((G1249+150-50),'Parametros Generales'!$C$8)</f>
        <v>350</v>
      </c>
      <c r="I1249" s="1057" t="s">
        <v>753</v>
      </c>
      <c r="J1249" s="1058">
        <v>350</v>
      </c>
      <c r="K1249" s="1070" t="str">
        <f t="shared" si="105"/>
        <v>Ok</v>
      </c>
      <c r="L1249" s="1077">
        <f t="shared" si="106"/>
        <v>0</v>
      </c>
      <c r="M1249" s="1091">
        <f>+H1249/'Parametros Generales'!$C$8</f>
        <v>14</v>
      </c>
      <c r="N1249" s="1098"/>
      <c r="O1249" s="1098"/>
      <c r="P1249" s="1098"/>
      <c r="Q1249" s="1098"/>
      <c r="R1249" s="1098">
        <f>+(M1249/'Parametros Generales'!$C$9)</f>
        <v>3.5</v>
      </c>
      <c r="S1249" s="395"/>
      <c r="T1249" s="395"/>
      <c r="U1249" s="395"/>
      <c r="V1249" s="396"/>
      <c r="W1249" s="376">
        <f>+R1249*'Componentes T.H.'!$Q$9*'Parametros Generales'!$C$6</f>
        <v>17564774.748499997</v>
      </c>
      <c r="X1249" s="376">
        <f>(+VLOOKUP(C1249,'Transporte y Viaticos'!$B$87:$L$120,2,0)*'Parametros Generales'!$C$7*R1249)*(2/3)</f>
        <v>1021599.523408664</v>
      </c>
      <c r="Y1249" s="417"/>
      <c r="Z1249" s="417"/>
      <c r="AA1249" s="417"/>
      <c r="AB1249" s="417">
        <f>+M1249*'Parametros Generales'!$C$6*'Parametros Generales'!$J$9</f>
        <v>6816727.2727272743</v>
      </c>
      <c r="AC1249" s="417">
        <f>+H1249*'Parametros Generales'!$J$10*'Parametros Generales'!$C$6*'Parametros Generales'!$C$11</f>
        <v>25792372.842952844</v>
      </c>
      <c r="AD1249" s="417"/>
      <c r="AE1249" s="417"/>
      <c r="AF1249" s="417"/>
      <c r="AG1249" s="417"/>
      <c r="AH1249" s="417"/>
      <c r="AI1249" s="417"/>
      <c r="AJ1249" s="417"/>
      <c r="AK1249" s="436"/>
      <c r="AL1249" s="822"/>
    </row>
    <row r="1250" spans="1:38" s="33" customFormat="1" hidden="1" outlineLevel="1">
      <c r="A1250" s="1150"/>
      <c r="B1250" s="823">
        <f t="shared" ref="B1250:B1262" si="111">+B1249</f>
        <v>99</v>
      </c>
      <c r="C1250" s="373" t="str">
        <f t="shared" ref="C1250:C1262" si="112">+C1249</f>
        <v>VICHADA</v>
      </c>
      <c r="D1250" s="374"/>
      <c r="E1250" s="1113"/>
      <c r="F1250" s="1104"/>
      <c r="G1250" s="375"/>
      <c r="H1250" s="1062"/>
      <c r="I1250" s="1057"/>
      <c r="J1250" s="1058"/>
      <c r="K1250" s="1070" t="str">
        <f t="shared" si="105"/>
        <v>Ok</v>
      </c>
      <c r="L1250" s="1076">
        <f t="shared" si="106"/>
        <v>0</v>
      </c>
      <c r="M1250" s="1091">
        <f>+H1250/'Parametros Generales'!$C$8</f>
        <v>0</v>
      </c>
      <c r="N1250" s="1098"/>
      <c r="O1250" s="1098"/>
      <c r="P1250" s="1098"/>
      <c r="Q1250" s="1098"/>
      <c r="R1250" s="1098">
        <f>+(M1250/'Parametros Generales'!$C$9)</f>
        <v>0</v>
      </c>
      <c r="S1250" s="395"/>
      <c r="T1250" s="395"/>
      <c r="U1250" s="395"/>
      <c r="V1250" s="396"/>
      <c r="W1250" s="376">
        <f>+R1250*'Componentes T.H.'!$Q$9*'Parametros Generales'!$C$6</f>
        <v>0</v>
      </c>
      <c r="X1250" s="376">
        <f>(+VLOOKUP(C1250,'Transporte y Viaticos'!$B$87:$L$120,2,0)*'Parametros Generales'!$C$7*R1250)*(2/3)</f>
        <v>0</v>
      </c>
      <c r="Y1250" s="417"/>
      <c r="Z1250" s="417"/>
      <c r="AA1250" s="417"/>
      <c r="AB1250" s="417">
        <f>+M1250*'Parametros Generales'!$C$6*'Parametros Generales'!$J$9</f>
        <v>0</v>
      </c>
      <c r="AC1250" s="417">
        <f>+H1250*'Parametros Generales'!$J$10*'Parametros Generales'!$C$6*'Parametros Generales'!$C$11</f>
        <v>0</v>
      </c>
      <c r="AD1250" s="417"/>
      <c r="AE1250" s="417"/>
      <c r="AF1250" s="417"/>
      <c r="AG1250" s="417"/>
      <c r="AH1250" s="417"/>
      <c r="AI1250" s="417"/>
      <c r="AJ1250" s="417"/>
      <c r="AK1250" s="436"/>
      <c r="AL1250" s="822"/>
    </row>
    <row r="1251" spans="1:38" s="33" customFormat="1" hidden="1" outlineLevel="1">
      <c r="A1251" s="1150"/>
      <c r="B1251" s="823">
        <f t="shared" si="111"/>
        <v>99</v>
      </c>
      <c r="C1251" s="373" t="str">
        <f t="shared" si="112"/>
        <v>VICHADA</v>
      </c>
      <c r="D1251" s="374"/>
      <c r="E1251" s="1113"/>
      <c r="F1251" s="1104"/>
      <c r="G1251" s="375"/>
      <c r="H1251" s="1062"/>
      <c r="I1251" s="1059"/>
      <c r="J1251" s="1059"/>
      <c r="K1251" s="1074" t="str">
        <f t="shared" si="105"/>
        <v>Ok</v>
      </c>
      <c r="L1251" s="1077">
        <f t="shared" si="106"/>
        <v>0</v>
      </c>
      <c r="M1251" s="1091">
        <f>+H1251/'Parametros Generales'!$C$8</f>
        <v>0</v>
      </c>
      <c r="N1251" s="1098"/>
      <c r="O1251" s="1098"/>
      <c r="P1251" s="1098"/>
      <c r="Q1251" s="1098"/>
      <c r="R1251" s="1098">
        <f>+(M1251/'Parametros Generales'!$C$9)</f>
        <v>0</v>
      </c>
      <c r="S1251" s="395"/>
      <c r="T1251" s="395"/>
      <c r="U1251" s="395"/>
      <c r="V1251" s="396"/>
      <c r="W1251" s="376">
        <f>+R1251*'Componentes T.H.'!$Q$9*'Parametros Generales'!$C$6</f>
        <v>0</v>
      </c>
      <c r="X1251" s="376">
        <f>(+VLOOKUP(C1251,'Transporte y Viaticos'!$B$87:$L$120,2,0)*'Parametros Generales'!$C$7*R1251)*(2/3)</f>
        <v>0</v>
      </c>
      <c r="Y1251" s="417"/>
      <c r="Z1251" s="417"/>
      <c r="AA1251" s="417"/>
      <c r="AB1251" s="417">
        <f>+M1251*'Parametros Generales'!$C$6*'Parametros Generales'!$J$9</f>
        <v>0</v>
      </c>
      <c r="AC1251" s="417">
        <f>+H1251*'Parametros Generales'!$J$10*'Parametros Generales'!$C$6*'Parametros Generales'!$C$11</f>
        <v>0</v>
      </c>
      <c r="AD1251" s="417"/>
      <c r="AE1251" s="417"/>
      <c r="AF1251" s="417"/>
      <c r="AG1251" s="417"/>
      <c r="AH1251" s="417"/>
      <c r="AI1251" s="417"/>
      <c r="AJ1251" s="417"/>
      <c r="AK1251" s="436"/>
      <c r="AL1251" s="822"/>
    </row>
    <row r="1252" spans="1:38" s="33" customFormat="1" hidden="1" outlineLevel="1">
      <c r="A1252" s="1150"/>
      <c r="B1252" s="823">
        <f t="shared" si="111"/>
        <v>99</v>
      </c>
      <c r="C1252" s="373" t="str">
        <f t="shared" si="112"/>
        <v>VICHADA</v>
      </c>
      <c r="D1252" s="374"/>
      <c r="E1252" s="1113"/>
      <c r="F1252" s="1104"/>
      <c r="G1252" s="375"/>
      <c r="H1252" s="1062"/>
      <c r="I1252" s="1059"/>
      <c r="J1252" s="1059"/>
      <c r="K1252" s="1074" t="str">
        <f t="shared" si="105"/>
        <v>Ok</v>
      </c>
      <c r="L1252" s="1077">
        <f t="shared" si="106"/>
        <v>0</v>
      </c>
      <c r="M1252" s="1091">
        <f>+H1252/'Parametros Generales'!$C$8</f>
        <v>0</v>
      </c>
      <c r="N1252" s="1098"/>
      <c r="O1252" s="1098"/>
      <c r="P1252" s="1098"/>
      <c r="Q1252" s="1098"/>
      <c r="R1252" s="1098">
        <f>+(M1252/'Parametros Generales'!$C$9)</f>
        <v>0</v>
      </c>
      <c r="S1252" s="395"/>
      <c r="T1252" s="395"/>
      <c r="U1252" s="395"/>
      <c r="V1252" s="396"/>
      <c r="W1252" s="376">
        <f>+R1252*'Componentes T.H.'!$Q$9*'Parametros Generales'!$C$6</f>
        <v>0</v>
      </c>
      <c r="X1252" s="376">
        <f>(+VLOOKUP(C1252,'Transporte y Viaticos'!$B$87:$L$120,2,0)*'Parametros Generales'!$C$7*R1252)*(2/3)</f>
        <v>0</v>
      </c>
      <c r="Y1252" s="417"/>
      <c r="Z1252" s="417"/>
      <c r="AA1252" s="417"/>
      <c r="AB1252" s="417">
        <f>+M1252*'Parametros Generales'!$C$6*'Parametros Generales'!$J$9</f>
        <v>0</v>
      </c>
      <c r="AC1252" s="417">
        <f>+H1252*'Parametros Generales'!$J$10*'Parametros Generales'!$C$6*'Parametros Generales'!$C$11</f>
        <v>0</v>
      </c>
      <c r="AD1252" s="417"/>
      <c r="AE1252" s="417"/>
      <c r="AF1252" s="417"/>
      <c r="AG1252" s="417"/>
      <c r="AH1252" s="417"/>
      <c r="AI1252" s="417"/>
      <c r="AJ1252" s="417"/>
      <c r="AK1252" s="436"/>
      <c r="AL1252" s="822"/>
    </row>
    <row r="1253" spans="1:38" s="33" customFormat="1" hidden="1" outlineLevel="1">
      <c r="A1253" s="1150"/>
      <c r="B1253" s="823">
        <f t="shared" si="111"/>
        <v>99</v>
      </c>
      <c r="C1253" s="373" t="str">
        <f t="shared" si="112"/>
        <v>VICHADA</v>
      </c>
      <c r="D1253" s="374"/>
      <c r="E1253" s="1113"/>
      <c r="F1253" s="1104"/>
      <c r="G1253" s="375"/>
      <c r="H1253" s="1062"/>
      <c r="I1253" s="509"/>
      <c r="J1253" s="509"/>
      <c r="K1253" s="1075" t="str">
        <f t="shared" si="105"/>
        <v>Ok</v>
      </c>
      <c r="L1253" s="1077">
        <f t="shared" si="106"/>
        <v>0</v>
      </c>
      <c r="M1253" s="1091">
        <f>+H1253/'Parametros Generales'!$C$8</f>
        <v>0</v>
      </c>
      <c r="N1253" s="1098"/>
      <c r="O1253" s="1098"/>
      <c r="P1253" s="1098"/>
      <c r="Q1253" s="1098"/>
      <c r="R1253" s="1098">
        <f>+(M1253/'Parametros Generales'!$C$9)</f>
        <v>0</v>
      </c>
      <c r="S1253" s="395"/>
      <c r="T1253" s="395"/>
      <c r="U1253" s="395"/>
      <c r="V1253" s="396"/>
      <c r="W1253" s="376">
        <f>+R1253*'Componentes T.H.'!$Q$9*'Parametros Generales'!$C$6</f>
        <v>0</v>
      </c>
      <c r="X1253" s="376">
        <f>(+VLOOKUP(C1253,'Transporte y Viaticos'!$B$87:$L$120,2,0)*'Parametros Generales'!$C$7*R1253)*(2/3)</f>
        <v>0</v>
      </c>
      <c r="Y1253" s="417"/>
      <c r="Z1253" s="417"/>
      <c r="AA1253" s="417"/>
      <c r="AB1253" s="417">
        <f>+M1253*'Parametros Generales'!$C$6*'Parametros Generales'!$J$9</f>
        <v>0</v>
      </c>
      <c r="AC1253" s="417">
        <f>+H1253*'Parametros Generales'!$J$10*'Parametros Generales'!$C$6*'Parametros Generales'!$C$11</f>
        <v>0</v>
      </c>
      <c r="AD1253" s="417"/>
      <c r="AE1253" s="417"/>
      <c r="AF1253" s="417"/>
      <c r="AG1253" s="417"/>
      <c r="AH1253" s="417"/>
      <c r="AI1253" s="417"/>
      <c r="AJ1253" s="417"/>
      <c r="AK1253" s="436"/>
      <c r="AL1253" s="822"/>
    </row>
    <row r="1254" spans="1:38" s="33" customFormat="1" hidden="1" outlineLevel="1">
      <c r="A1254" s="1150"/>
      <c r="B1254" s="823">
        <f t="shared" si="111"/>
        <v>99</v>
      </c>
      <c r="C1254" s="373" t="str">
        <f t="shared" si="112"/>
        <v>VICHADA</v>
      </c>
      <c r="D1254" s="374"/>
      <c r="E1254" s="1113"/>
      <c r="F1254" s="1104"/>
      <c r="G1254" s="375"/>
      <c r="H1254" s="1062"/>
      <c r="I1254" s="509"/>
      <c r="J1254" s="509"/>
      <c r="K1254" s="1075" t="str">
        <f t="shared" si="105"/>
        <v>Ok</v>
      </c>
      <c r="L1254" s="1077">
        <f t="shared" si="106"/>
        <v>0</v>
      </c>
      <c r="M1254" s="1091">
        <f>+H1254/'Parametros Generales'!$C$8</f>
        <v>0</v>
      </c>
      <c r="N1254" s="1098"/>
      <c r="O1254" s="1098"/>
      <c r="P1254" s="1098"/>
      <c r="Q1254" s="1098"/>
      <c r="R1254" s="1098">
        <f>+(M1254/'Parametros Generales'!$C$9)</f>
        <v>0</v>
      </c>
      <c r="S1254" s="395"/>
      <c r="T1254" s="395"/>
      <c r="U1254" s="395"/>
      <c r="V1254" s="396"/>
      <c r="W1254" s="376">
        <f>+R1254*'Componentes T.H.'!$Q$9*'Parametros Generales'!$C$6</f>
        <v>0</v>
      </c>
      <c r="X1254" s="376">
        <f>(+VLOOKUP(C1254,'Transporte y Viaticos'!$B$87:$L$120,2,0)*'Parametros Generales'!$C$7*R1254)*(2/3)</f>
        <v>0</v>
      </c>
      <c r="Y1254" s="417"/>
      <c r="Z1254" s="417"/>
      <c r="AA1254" s="417"/>
      <c r="AB1254" s="417">
        <f>+M1254*'Parametros Generales'!$C$6*'Parametros Generales'!$J$9</f>
        <v>0</v>
      </c>
      <c r="AC1254" s="417">
        <f>+H1254*'Parametros Generales'!$J$10*'Parametros Generales'!$C$6*'Parametros Generales'!$C$11</f>
        <v>0</v>
      </c>
      <c r="AD1254" s="417"/>
      <c r="AE1254" s="417"/>
      <c r="AF1254" s="417"/>
      <c r="AG1254" s="417"/>
      <c r="AH1254" s="417"/>
      <c r="AI1254" s="417"/>
      <c r="AJ1254" s="417"/>
      <c r="AK1254" s="436"/>
      <c r="AL1254" s="822"/>
    </row>
    <row r="1255" spans="1:38" s="33" customFormat="1" hidden="1" outlineLevel="1">
      <c r="A1255" s="1150"/>
      <c r="B1255" s="823">
        <f t="shared" si="111"/>
        <v>99</v>
      </c>
      <c r="C1255" s="373" t="str">
        <f t="shared" si="112"/>
        <v>VICHADA</v>
      </c>
      <c r="D1255" s="374"/>
      <c r="E1255" s="1113"/>
      <c r="F1255" s="1104"/>
      <c r="G1255" s="375"/>
      <c r="H1255" s="1062"/>
      <c r="I1255" s="509"/>
      <c r="J1255" s="509"/>
      <c r="K1255" s="1075" t="str">
        <f t="shared" si="105"/>
        <v>Ok</v>
      </c>
      <c r="L1255" s="1077">
        <f t="shared" si="106"/>
        <v>0</v>
      </c>
      <c r="M1255" s="1091">
        <f>+H1255/'Parametros Generales'!$C$8</f>
        <v>0</v>
      </c>
      <c r="N1255" s="1098"/>
      <c r="O1255" s="1098"/>
      <c r="P1255" s="1098"/>
      <c r="Q1255" s="1098"/>
      <c r="R1255" s="1098">
        <f>+(M1255/'Parametros Generales'!$C$9)</f>
        <v>0</v>
      </c>
      <c r="S1255" s="395"/>
      <c r="T1255" s="395"/>
      <c r="U1255" s="395"/>
      <c r="V1255" s="396"/>
      <c r="W1255" s="376">
        <f>+R1255*'Componentes T.H.'!$Q$9*'Parametros Generales'!$C$6</f>
        <v>0</v>
      </c>
      <c r="X1255" s="376">
        <f>(+VLOOKUP(C1255,'Transporte y Viaticos'!$B$87:$L$120,2,0)*'Parametros Generales'!$C$7*R1255)*(2/3)</f>
        <v>0</v>
      </c>
      <c r="Y1255" s="417"/>
      <c r="Z1255" s="417"/>
      <c r="AA1255" s="417"/>
      <c r="AB1255" s="417">
        <f>+M1255*'Parametros Generales'!$C$6*'Parametros Generales'!$J$9</f>
        <v>0</v>
      </c>
      <c r="AC1255" s="417">
        <f>+H1255*'Parametros Generales'!$J$10*'Parametros Generales'!$C$6*'Parametros Generales'!$C$11</f>
        <v>0</v>
      </c>
      <c r="AD1255" s="417"/>
      <c r="AE1255" s="417"/>
      <c r="AF1255" s="417"/>
      <c r="AG1255" s="417"/>
      <c r="AH1255" s="417"/>
      <c r="AI1255" s="417"/>
      <c r="AJ1255" s="417"/>
      <c r="AK1255" s="436"/>
      <c r="AL1255" s="822"/>
    </row>
    <row r="1256" spans="1:38" s="33" customFormat="1" hidden="1" outlineLevel="1">
      <c r="A1256" s="1150"/>
      <c r="B1256" s="823">
        <f t="shared" si="111"/>
        <v>99</v>
      </c>
      <c r="C1256" s="373" t="str">
        <f t="shared" si="112"/>
        <v>VICHADA</v>
      </c>
      <c r="D1256" s="374"/>
      <c r="E1256" s="1113"/>
      <c r="F1256" s="1104"/>
      <c r="G1256" s="375"/>
      <c r="H1256" s="1062"/>
      <c r="I1256" s="509"/>
      <c r="J1256" s="509"/>
      <c r="K1256" s="1075" t="str">
        <f t="shared" si="105"/>
        <v>Ok</v>
      </c>
      <c r="L1256" s="1077">
        <f t="shared" si="106"/>
        <v>0</v>
      </c>
      <c r="M1256" s="1091">
        <f>+H1256/'Parametros Generales'!$C$8</f>
        <v>0</v>
      </c>
      <c r="N1256" s="1098"/>
      <c r="O1256" s="1098"/>
      <c r="P1256" s="1098"/>
      <c r="Q1256" s="1098"/>
      <c r="R1256" s="1098">
        <f>+(M1256/'Parametros Generales'!$C$9)</f>
        <v>0</v>
      </c>
      <c r="S1256" s="395"/>
      <c r="T1256" s="395"/>
      <c r="U1256" s="395"/>
      <c r="V1256" s="396"/>
      <c r="W1256" s="376">
        <f>+R1256*'Componentes T.H.'!$Q$9*'Parametros Generales'!$C$6</f>
        <v>0</v>
      </c>
      <c r="X1256" s="376">
        <f>(+VLOOKUP(C1256,'Transporte y Viaticos'!$B$87:$L$120,2,0)*'Parametros Generales'!$C$7*R1256)*(2/3)</f>
        <v>0</v>
      </c>
      <c r="Y1256" s="417"/>
      <c r="Z1256" s="417"/>
      <c r="AA1256" s="417"/>
      <c r="AB1256" s="417">
        <f>+M1256*'Parametros Generales'!$C$6*'Parametros Generales'!$J$9</f>
        <v>0</v>
      </c>
      <c r="AC1256" s="417">
        <f>+H1256*'Parametros Generales'!$J$10*'Parametros Generales'!$C$6*'Parametros Generales'!$C$11</f>
        <v>0</v>
      </c>
      <c r="AD1256" s="417"/>
      <c r="AE1256" s="417"/>
      <c r="AF1256" s="417"/>
      <c r="AG1256" s="417"/>
      <c r="AH1256" s="417"/>
      <c r="AI1256" s="417"/>
      <c r="AJ1256" s="417"/>
      <c r="AK1256" s="436"/>
      <c r="AL1256" s="822"/>
    </row>
    <row r="1257" spans="1:38" s="33" customFormat="1" hidden="1" outlineLevel="1">
      <c r="A1257" s="1150"/>
      <c r="B1257" s="823">
        <f t="shared" si="111"/>
        <v>99</v>
      </c>
      <c r="C1257" s="373" t="str">
        <f t="shared" si="112"/>
        <v>VICHADA</v>
      </c>
      <c r="D1257" s="374"/>
      <c r="E1257" s="1113"/>
      <c r="F1257" s="1104"/>
      <c r="G1257" s="375"/>
      <c r="H1257" s="1062"/>
      <c r="I1257" s="509"/>
      <c r="J1257" s="509"/>
      <c r="K1257" s="1075" t="str">
        <f t="shared" si="105"/>
        <v>Ok</v>
      </c>
      <c r="L1257" s="1077">
        <f t="shared" si="106"/>
        <v>0</v>
      </c>
      <c r="M1257" s="1091">
        <f>+H1257/'Parametros Generales'!$C$8</f>
        <v>0</v>
      </c>
      <c r="N1257" s="1098"/>
      <c r="O1257" s="1098"/>
      <c r="P1257" s="1098"/>
      <c r="Q1257" s="1098"/>
      <c r="R1257" s="1098">
        <f>+(M1257/'Parametros Generales'!$C$9)</f>
        <v>0</v>
      </c>
      <c r="S1257" s="395"/>
      <c r="T1257" s="395"/>
      <c r="U1257" s="395"/>
      <c r="V1257" s="396"/>
      <c r="W1257" s="376">
        <f>+R1257*'Componentes T.H.'!$Q$9*'Parametros Generales'!$C$6</f>
        <v>0</v>
      </c>
      <c r="X1257" s="376">
        <f>(+VLOOKUP(C1257,'Transporte y Viaticos'!$B$87:$L$120,2,0)*'Parametros Generales'!$C$7*R1257)*(2/3)</f>
        <v>0</v>
      </c>
      <c r="Y1257" s="417"/>
      <c r="Z1257" s="417"/>
      <c r="AA1257" s="417"/>
      <c r="AB1257" s="417">
        <f>+M1257*'Parametros Generales'!$C$6*'Parametros Generales'!$J$9</f>
        <v>0</v>
      </c>
      <c r="AC1257" s="417">
        <f>+H1257*'Parametros Generales'!$J$10*'Parametros Generales'!$C$6*'Parametros Generales'!$C$11</f>
        <v>0</v>
      </c>
      <c r="AD1257" s="417"/>
      <c r="AE1257" s="417"/>
      <c r="AF1257" s="417"/>
      <c r="AG1257" s="417"/>
      <c r="AH1257" s="417"/>
      <c r="AI1257" s="417"/>
      <c r="AJ1257" s="417"/>
      <c r="AK1257" s="436"/>
      <c r="AL1257" s="822"/>
    </row>
    <row r="1258" spans="1:38" s="33" customFormat="1" hidden="1" outlineLevel="1">
      <c r="A1258" s="1150"/>
      <c r="B1258" s="823">
        <f t="shared" si="111"/>
        <v>99</v>
      </c>
      <c r="C1258" s="373" t="str">
        <f t="shared" si="112"/>
        <v>VICHADA</v>
      </c>
      <c r="D1258" s="374"/>
      <c r="E1258" s="1113"/>
      <c r="F1258" s="1104"/>
      <c r="G1258" s="375"/>
      <c r="H1258" s="1062"/>
      <c r="I1258" s="509"/>
      <c r="J1258" s="509"/>
      <c r="K1258" s="1075" t="str">
        <f t="shared" si="105"/>
        <v>Ok</v>
      </c>
      <c r="L1258" s="1077">
        <f t="shared" si="106"/>
        <v>0</v>
      </c>
      <c r="M1258" s="1091">
        <f>+H1258/'Parametros Generales'!$C$8</f>
        <v>0</v>
      </c>
      <c r="N1258" s="1098"/>
      <c r="O1258" s="1098"/>
      <c r="P1258" s="1098"/>
      <c r="Q1258" s="1098"/>
      <c r="R1258" s="1098">
        <f>+(M1258/'Parametros Generales'!$C$9)</f>
        <v>0</v>
      </c>
      <c r="S1258" s="395"/>
      <c r="T1258" s="395"/>
      <c r="U1258" s="395"/>
      <c r="V1258" s="396"/>
      <c r="W1258" s="376">
        <f>+R1258*'Componentes T.H.'!$Q$9*'Parametros Generales'!$C$6</f>
        <v>0</v>
      </c>
      <c r="X1258" s="376">
        <f>(+VLOOKUP(C1258,'Transporte y Viaticos'!$B$87:$L$120,2,0)*'Parametros Generales'!$C$7*R1258)*(2/3)</f>
        <v>0</v>
      </c>
      <c r="Y1258" s="417"/>
      <c r="Z1258" s="417"/>
      <c r="AA1258" s="417"/>
      <c r="AB1258" s="417">
        <f>+M1258*'Parametros Generales'!$C$6*'Parametros Generales'!$J$9</f>
        <v>0</v>
      </c>
      <c r="AC1258" s="417">
        <f>+H1258*'Parametros Generales'!$J$10*'Parametros Generales'!$C$6*'Parametros Generales'!$C$11</f>
        <v>0</v>
      </c>
      <c r="AD1258" s="417"/>
      <c r="AE1258" s="417"/>
      <c r="AF1258" s="417"/>
      <c r="AG1258" s="417"/>
      <c r="AH1258" s="417"/>
      <c r="AI1258" s="417"/>
      <c r="AJ1258" s="417"/>
      <c r="AK1258" s="436"/>
      <c r="AL1258" s="822"/>
    </row>
    <row r="1259" spans="1:38" s="33" customFormat="1" hidden="1" outlineLevel="1">
      <c r="A1259" s="1150"/>
      <c r="B1259" s="823">
        <f t="shared" si="111"/>
        <v>99</v>
      </c>
      <c r="C1259" s="373" t="str">
        <f t="shared" si="112"/>
        <v>VICHADA</v>
      </c>
      <c r="D1259" s="374"/>
      <c r="E1259" s="1113"/>
      <c r="F1259" s="1104"/>
      <c r="G1259" s="375"/>
      <c r="H1259" s="1062"/>
      <c r="I1259" s="509"/>
      <c r="J1259" s="509"/>
      <c r="K1259" s="1075" t="str">
        <f t="shared" si="105"/>
        <v>Ok</v>
      </c>
      <c r="L1259" s="1077">
        <f t="shared" si="106"/>
        <v>0</v>
      </c>
      <c r="M1259" s="1091">
        <f>+H1259/'Parametros Generales'!$C$8</f>
        <v>0</v>
      </c>
      <c r="N1259" s="1098"/>
      <c r="O1259" s="1098"/>
      <c r="P1259" s="1098"/>
      <c r="Q1259" s="1098"/>
      <c r="R1259" s="1098">
        <f>+(M1259/'Parametros Generales'!$C$9)</f>
        <v>0</v>
      </c>
      <c r="S1259" s="395"/>
      <c r="T1259" s="395"/>
      <c r="U1259" s="395"/>
      <c r="V1259" s="396"/>
      <c r="W1259" s="376">
        <f>+R1259*'Componentes T.H.'!$Q$9*'Parametros Generales'!$C$6</f>
        <v>0</v>
      </c>
      <c r="X1259" s="376">
        <f>(+VLOOKUP(C1259,'Transporte y Viaticos'!$B$87:$L$120,2,0)*'Parametros Generales'!$C$7*R1259)*(2/3)</f>
        <v>0</v>
      </c>
      <c r="Y1259" s="417"/>
      <c r="Z1259" s="417"/>
      <c r="AA1259" s="417"/>
      <c r="AB1259" s="417">
        <f>+M1259*'Parametros Generales'!$C$6*'Parametros Generales'!$J$9</f>
        <v>0</v>
      </c>
      <c r="AC1259" s="417">
        <f>+H1259*'Parametros Generales'!$J$10*'Parametros Generales'!$C$6*'Parametros Generales'!$C$11</f>
        <v>0</v>
      </c>
      <c r="AD1259" s="417"/>
      <c r="AE1259" s="417"/>
      <c r="AF1259" s="417"/>
      <c r="AG1259" s="417"/>
      <c r="AH1259" s="417"/>
      <c r="AI1259" s="417"/>
      <c r="AJ1259" s="417"/>
      <c r="AK1259" s="436"/>
      <c r="AL1259" s="822"/>
    </row>
    <row r="1260" spans="1:38" s="33" customFormat="1" hidden="1" outlineLevel="1">
      <c r="A1260" s="1150"/>
      <c r="B1260" s="823">
        <f t="shared" si="111"/>
        <v>99</v>
      </c>
      <c r="C1260" s="373" t="str">
        <f t="shared" si="112"/>
        <v>VICHADA</v>
      </c>
      <c r="D1260" s="374"/>
      <c r="E1260" s="1113"/>
      <c r="F1260" s="1104"/>
      <c r="G1260" s="375"/>
      <c r="H1260" s="1062"/>
      <c r="I1260" s="509"/>
      <c r="J1260" s="509"/>
      <c r="K1260" s="1075" t="str">
        <f t="shared" si="105"/>
        <v>Ok</v>
      </c>
      <c r="L1260" s="1077">
        <f t="shared" si="106"/>
        <v>0</v>
      </c>
      <c r="M1260" s="1091">
        <f>+H1260/'Parametros Generales'!$C$8</f>
        <v>0</v>
      </c>
      <c r="N1260" s="1098"/>
      <c r="O1260" s="1098"/>
      <c r="P1260" s="1098"/>
      <c r="Q1260" s="1098"/>
      <c r="R1260" s="1098">
        <f>+(M1260/'Parametros Generales'!$C$9)</f>
        <v>0</v>
      </c>
      <c r="S1260" s="395"/>
      <c r="T1260" s="395"/>
      <c r="U1260" s="395"/>
      <c r="V1260" s="396"/>
      <c r="W1260" s="376">
        <f>+R1260*'Componentes T.H.'!$Q$9*'Parametros Generales'!$C$6</f>
        <v>0</v>
      </c>
      <c r="X1260" s="376">
        <f>(+VLOOKUP(C1260,'Transporte y Viaticos'!$B$87:$L$120,2,0)*'Parametros Generales'!$C$7*R1260)*(2/3)</f>
        <v>0</v>
      </c>
      <c r="Y1260" s="417"/>
      <c r="Z1260" s="417"/>
      <c r="AA1260" s="417"/>
      <c r="AB1260" s="417">
        <f>+M1260*'Parametros Generales'!$C$6*'Parametros Generales'!$J$9</f>
        <v>0</v>
      </c>
      <c r="AC1260" s="417">
        <f>+H1260*'Parametros Generales'!$J$10*'Parametros Generales'!$C$6*'Parametros Generales'!$C$11</f>
        <v>0</v>
      </c>
      <c r="AD1260" s="417"/>
      <c r="AE1260" s="417"/>
      <c r="AF1260" s="417"/>
      <c r="AG1260" s="417"/>
      <c r="AH1260" s="417"/>
      <c r="AI1260" s="417"/>
      <c r="AJ1260" s="417"/>
      <c r="AK1260" s="436"/>
      <c r="AL1260" s="822"/>
    </row>
    <row r="1261" spans="1:38" s="33" customFormat="1" hidden="1" outlineLevel="1">
      <c r="A1261" s="1150"/>
      <c r="B1261" s="823">
        <f t="shared" si="111"/>
        <v>99</v>
      </c>
      <c r="C1261" s="373" t="str">
        <f t="shared" si="112"/>
        <v>VICHADA</v>
      </c>
      <c r="D1261" s="374"/>
      <c r="E1261" s="1113"/>
      <c r="F1261" s="1104"/>
      <c r="G1261" s="375"/>
      <c r="H1261" s="1062"/>
      <c r="I1261" s="509"/>
      <c r="J1261" s="509"/>
      <c r="K1261" s="1075" t="str">
        <f t="shared" si="105"/>
        <v>Ok</v>
      </c>
      <c r="L1261" s="1077">
        <f t="shared" si="106"/>
        <v>0</v>
      </c>
      <c r="M1261" s="1091">
        <f>+H1261/'Parametros Generales'!$C$8</f>
        <v>0</v>
      </c>
      <c r="N1261" s="1098"/>
      <c r="O1261" s="1098"/>
      <c r="P1261" s="1098"/>
      <c r="Q1261" s="1098"/>
      <c r="R1261" s="1098">
        <f>+(M1261/'Parametros Generales'!$C$9)</f>
        <v>0</v>
      </c>
      <c r="S1261" s="395"/>
      <c r="T1261" s="395"/>
      <c r="U1261" s="395"/>
      <c r="V1261" s="396"/>
      <c r="W1261" s="376">
        <f>+R1261*'Componentes T.H.'!$Q$9*'Parametros Generales'!$C$6</f>
        <v>0</v>
      </c>
      <c r="X1261" s="376">
        <f>(+VLOOKUP(C1261,'Transporte y Viaticos'!$B$87:$L$120,2,0)*'Parametros Generales'!$C$7*R1261)*(2/3)</f>
        <v>0</v>
      </c>
      <c r="Y1261" s="417"/>
      <c r="Z1261" s="417"/>
      <c r="AA1261" s="417"/>
      <c r="AB1261" s="417">
        <f>+M1261*'Parametros Generales'!$C$6*'Parametros Generales'!$J$9</f>
        <v>0</v>
      </c>
      <c r="AC1261" s="417">
        <f>+H1261*'Parametros Generales'!$J$10*'Parametros Generales'!$C$6*'Parametros Generales'!$C$11</f>
        <v>0</v>
      </c>
      <c r="AD1261" s="417"/>
      <c r="AE1261" s="417"/>
      <c r="AF1261" s="417"/>
      <c r="AG1261" s="417"/>
      <c r="AH1261" s="417"/>
      <c r="AI1261" s="417"/>
      <c r="AJ1261" s="417"/>
      <c r="AK1261" s="436"/>
      <c r="AL1261" s="822"/>
    </row>
    <row r="1262" spans="1:38" s="33" customFormat="1" hidden="1" outlineLevel="1">
      <c r="A1262" s="1150"/>
      <c r="B1262" s="823">
        <f t="shared" si="111"/>
        <v>99</v>
      </c>
      <c r="C1262" s="373" t="str">
        <f t="shared" si="112"/>
        <v>VICHADA</v>
      </c>
      <c r="D1262" s="374"/>
      <c r="E1262" s="1113"/>
      <c r="F1262" s="1104"/>
      <c r="G1262" s="375"/>
      <c r="H1262" s="1062"/>
      <c r="I1262" s="509"/>
      <c r="J1262" s="509"/>
      <c r="K1262" s="1075" t="str">
        <f t="shared" si="105"/>
        <v>Ok</v>
      </c>
      <c r="L1262" s="1077">
        <f t="shared" si="106"/>
        <v>0</v>
      </c>
      <c r="M1262" s="1091">
        <f>+H1262/'Parametros Generales'!$C$8</f>
        <v>0</v>
      </c>
      <c r="N1262" s="1098"/>
      <c r="O1262" s="1098"/>
      <c r="P1262" s="1098"/>
      <c r="Q1262" s="1098"/>
      <c r="R1262" s="1098">
        <f>+(M1262/'Parametros Generales'!$C$9)</f>
        <v>0</v>
      </c>
      <c r="S1262" s="395"/>
      <c r="T1262" s="395"/>
      <c r="U1262" s="395"/>
      <c r="V1262" s="396"/>
      <c r="W1262" s="376">
        <f>+R1262*'Componentes T.H.'!$Q$9*'Parametros Generales'!$C$6</f>
        <v>0</v>
      </c>
      <c r="X1262" s="376">
        <f>(+VLOOKUP(C1262,'Transporte y Viaticos'!$B$87:$L$120,2,0)*'Parametros Generales'!$C$7*R1262)*(2/3)</f>
        <v>0</v>
      </c>
      <c r="Y1262" s="417"/>
      <c r="Z1262" s="417"/>
      <c r="AA1262" s="417"/>
      <c r="AB1262" s="417">
        <f>+M1262*'Parametros Generales'!$C$6*'Parametros Generales'!$J$9</f>
        <v>0</v>
      </c>
      <c r="AC1262" s="417">
        <f>+H1262*'Parametros Generales'!$J$10*'Parametros Generales'!$C$6*'Parametros Generales'!$C$11</f>
        <v>0</v>
      </c>
      <c r="AD1262" s="417"/>
      <c r="AE1262" s="417"/>
      <c r="AF1262" s="417"/>
      <c r="AG1262" s="417"/>
      <c r="AH1262" s="417"/>
      <c r="AI1262" s="417"/>
      <c r="AJ1262" s="417"/>
      <c r="AK1262" s="436"/>
      <c r="AL1262" s="822"/>
    </row>
    <row r="1263" spans="1:38" s="392" customFormat="1" collapsed="1">
      <c r="A1263" s="1151">
        <v>35</v>
      </c>
      <c r="B1263" s="824">
        <v>99</v>
      </c>
      <c r="C1263" s="385" t="s">
        <v>2324</v>
      </c>
      <c r="D1263" s="386"/>
      <c r="E1263" s="1124" t="str">
        <f>+C1263</f>
        <v>BOGOTÁ</v>
      </c>
      <c r="F1263" s="1105">
        <f>+SUM(F1264:F1274)</f>
        <v>0</v>
      </c>
      <c r="G1263" s="388">
        <f>+SUM(G1264)</f>
        <v>19343</v>
      </c>
      <c r="H1263" s="512">
        <f>+SUM(H1264:H1274)</f>
        <v>0</v>
      </c>
      <c r="I1263" s="1057" t="s">
        <v>2324</v>
      </c>
      <c r="J1263" s="1067">
        <v>0</v>
      </c>
      <c r="K1263" s="1069" t="str">
        <f t="shared" si="105"/>
        <v>Ok</v>
      </c>
      <c r="L1263" s="1077">
        <f t="shared" si="106"/>
        <v>0</v>
      </c>
      <c r="M1263" s="512">
        <f>+SUM(M1264:M1274)</f>
        <v>0</v>
      </c>
      <c r="N1263" s="1073">
        <f>IF(ISERROR((+VLOOKUP(H1263,'Parametros Generales'!$B$14:$D$17,3,TRUE))),0,(+VLOOKUP(H1263,'Parametros Generales'!$B$14:$D$17,3,TRUE)))</f>
        <v>0</v>
      </c>
      <c r="O1263" s="1073">
        <f>IF(ISERROR((+VLOOKUP(H1263,'Parametros Generales'!$B$14:$D$17,3,TRUE))),0,(+VLOOKUP(H1263,'Parametros Generales'!$B$14:$D$17,3,TRUE)))</f>
        <v>0</v>
      </c>
      <c r="P1263" s="1073">
        <f>IF(ISERROR((+VLOOKUP(H1263,'Parametros Generales'!$B$14:$D$17,3,TRUE))),0,(+VLOOKUP(H1263,'Parametros Generales'!$B$14:$D$17,3,TRUE)))</f>
        <v>0</v>
      </c>
      <c r="Q1263" s="1073">
        <f>+R1263/'Parametros Generales'!$C$10</f>
        <v>0</v>
      </c>
      <c r="R1263" s="512">
        <f>+SUM(R1264:R1274)</f>
        <v>0</v>
      </c>
      <c r="S1263" s="390">
        <f>+VLOOKUP(S$1,'Componentes T.H.'!$B$4:$R$22,'Componentes T.H.'!$Q$1,0)*'Parametros Generales'!$C$6*'Cost x Depart'!N1263</f>
        <v>0</v>
      </c>
      <c r="T1263" s="390">
        <f>+VLOOKUP(T$1,'Componentes T.H.'!$B$4:$R$22,'Componentes T.H.'!$Q$1,0)*'Parametros Generales'!$C$6*'Cost x Depart'!O1263</f>
        <v>0</v>
      </c>
      <c r="U1263" s="390">
        <f>+VLOOKUP(U$1,'Componentes T.H.'!$B$4:$R$22,'Componentes T.H.'!$Q$1,0)*'Parametros Generales'!$C$6*'Cost x Depart'!P1263</f>
        <v>0</v>
      </c>
      <c r="V1263" s="389">
        <f>+VLOOKUP(V$1,'Componentes T.H.'!$B$4:$R$22,'Componentes T.H.'!$Q$1,0)*'Parametros Generales'!$C$6*'Cost x Depart'!Q1263</f>
        <v>0</v>
      </c>
      <c r="W1263" s="512">
        <f>+SUM(W1264:W1274)</f>
        <v>0</v>
      </c>
      <c r="X1263" s="512">
        <f>+SUM(X1264:X1274)</f>
        <v>0</v>
      </c>
      <c r="Y1263" s="391">
        <f>+VLOOKUP(C1264,'Transporte y Viaticos'!$B$87:$F$120,2,0)*((O1263/'Parametros Generales'!$J$14)+(Q1263/'Parametros Generales'!$J$15)+(R1263/'Parametros Generales'!$J$16))*'Parametros Generales'!$C$6</f>
        <v>0</v>
      </c>
      <c r="Z1263" s="391">
        <f>+(N1263+O1263+Q1263)*'Parametros Generales'!$C$6*'Parametros Generales'!$J$7</f>
        <v>0</v>
      </c>
      <c r="AA1263" s="391">
        <f>+SUM(N1263:R1263)*'Parametros Generales'!$C$6*'Parametros Generales'!$J$8</f>
        <v>0</v>
      </c>
      <c r="AB1263" s="512">
        <f>+SUM(AB1264:AB1274)</f>
        <v>0</v>
      </c>
      <c r="AC1263" s="512">
        <f>+SUM(AC1264:AC1274)</f>
        <v>0</v>
      </c>
      <c r="AD1263" s="391">
        <f>+'Parametros Generales'!$J$11*SUM(N1263:R1263)</f>
        <v>0</v>
      </c>
      <c r="AE1263" s="436">
        <f>+SUM(S1263:AD1263)</f>
        <v>0</v>
      </c>
      <c r="AF1263" s="391">
        <f>+AE1263*(SUM('Res de Costos Pais'!G117:G117))</f>
        <v>0</v>
      </c>
      <c r="AG1263" s="391">
        <f>+AE1263+AF1263</f>
        <v>0</v>
      </c>
      <c r="AH1263" s="391">
        <f>+AG1263*SUM('Res de Costos Pais'!$G$123:$G$124)</f>
        <v>0</v>
      </c>
      <c r="AI1263" s="391">
        <f>+(AG1263+AH1263)*'Res de Costos Pais'!$G$136</f>
        <v>0</v>
      </c>
      <c r="AJ1263" s="391">
        <f>+(AG1263+AH1263+AI1263)*'Res de Costos Pais'!$G$140</f>
        <v>0</v>
      </c>
      <c r="AK1263" s="391">
        <f>+AG1263+AH1263+AI1263+AJ1263</f>
        <v>0</v>
      </c>
      <c r="AL1263" s="820">
        <f>IF(ISERROR((+(AK1263/H1263)/'Parametros Generales'!$C$6)),0,(+(AK1263/H1263)/'Parametros Generales'!$C$6))</f>
        <v>0</v>
      </c>
    </row>
    <row r="1264" spans="1:38" s="33" customFormat="1" hidden="1" outlineLevel="1">
      <c r="A1264" s="1150"/>
      <c r="B1264" s="821">
        <v>99</v>
      </c>
      <c r="C1264" s="371" t="s">
        <v>2324</v>
      </c>
      <c r="D1264" s="31">
        <f>+VLOOKUP(E1264,Codigos!$A$1:$B$1123,2,0)</f>
        <v>11001</v>
      </c>
      <c r="E1264" s="1111" t="s">
        <v>755</v>
      </c>
      <c r="F1264" s="1103">
        <v>0</v>
      </c>
      <c r="G1264" s="30">
        <v>19343</v>
      </c>
      <c r="H1264" s="1090">
        <f>CEILING((G1264+50-19393),'Parametros Generales'!$C$8)</f>
        <v>0</v>
      </c>
      <c r="I1264" s="1057" t="s">
        <v>755</v>
      </c>
      <c r="J1264" s="1058">
        <v>0</v>
      </c>
      <c r="K1264" s="1070" t="str">
        <f t="shared" si="105"/>
        <v>Ok</v>
      </c>
      <c r="L1264" s="1071">
        <f t="shared" si="106"/>
        <v>0</v>
      </c>
      <c r="M1264" s="1090">
        <f>+H1264/'Parametros Generales'!$C$8</f>
        <v>0</v>
      </c>
      <c r="N1264" s="1097"/>
      <c r="O1264" s="1097"/>
      <c r="P1264" s="1097"/>
      <c r="Q1264" s="1097"/>
      <c r="R1264" s="1097">
        <f>+(M1264/'Parametros Generales'!$C$9)</f>
        <v>0</v>
      </c>
      <c r="S1264" s="390"/>
      <c r="T1264" s="390"/>
      <c r="U1264" s="390"/>
      <c r="V1264" s="389"/>
      <c r="W1264" s="32">
        <f>+R1264*'Componentes T.H.'!$Q$9*'Parametros Generales'!$C$6</f>
        <v>0</v>
      </c>
      <c r="X1264" s="32">
        <f>(+VLOOKUP(C1264,'Transporte y Viaticos'!$B$87:$L$120,2,0)*'Parametros Generales'!$C$7*R1264)*(2/3)</f>
        <v>0</v>
      </c>
      <c r="Y1264" s="417"/>
      <c r="Z1264" s="417"/>
      <c r="AA1264" s="417"/>
      <c r="AB1264" s="417">
        <f>+M1264*'Parametros Generales'!$C$6*'Parametros Generales'!$J$9</f>
        <v>0</v>
      </c>
      <c r="AC1264" s="417">
        <f>+H1264*'Parametros Generales'!$J$10*'Parametros Generales'!$C$6*'Parametros Generales'!$C$11</f>
        <v>0</v>
      </c>
      <c r="AD1264" s="417"/>
      <c r="AE1264" s="417"/>
      <c r="AF1264" s="417"/>
      <c r="AG1264" s="417"/>
      <c r="AH1264" s="417"/>
      <c r="AI1264" s="417"/>
      <c r="AJ1264" s="417"/>
      <c r="AK1264" s="436"/>
      <c r="AL1264" s="822"/>
    </row>
    <row r="1265" spans="1:38" s="33" customFormat="1" hidden="1" outlineLevel="1">
      <c r="A1265" s="1150"/>
      <c r="B1265" s="821">
        <f t="shared" ref="B1265:B1274" si="113">+B1264</f>
        <v>99</v>
      </c>
      <c r="C1265" s="371" t="str">
        <f t="shared" ref="C1265:C1274" si="114">+C1264</f>
        <v>BOGOTÁ</v>
      </c>
      <c r="D1265" s="31"/>
      <c r="E1265" s="1111"/>
      <c r="F1265" s="1103"/>
      <c r="G1265" s="30"/>
      <c r="H1265" s="1090"/>
      <c r="I1265" s="509"/>
      <c r="J1265" s="509"/>
      <c r="K1265" s="1075" t="str">
        <f t="shared" si="105"/>
        <v>Ok</v>
      </c>
      <c r="L1265" s="1071">
        <f t="shared" si="106"/>
        <v>0</v>
      </c>
      <c r="M1265" s="1090">
        <f>+H1265/'Parametros Generales'!$C$8</f>
        <v>0</v>
      </c>
      <c r="N1265" s="1097"/>
      <c r="O1265" s="1097"/>
      <c r="P1265" s="1097"/>
      <c r="Q1265" s="1097"/>
      <c r="R1265" s="1097">
        <f>+(M1265/'Parametros Generales'!$C$9)</f>
        <v>0</v>
      </c>
      <c r="S1265" s="390"/>
      <c r="T1265" s="390"/>
      <c r="U1265" s="390"/>
      <c r="V1265" s="389"/>
      <c r="W1265" s="32">
        <f>+R1265*'Componentes T.H.'!$Q$9*'Parametros Generales'!$C$6</f>
        <v>0</v>
      </c>
      <c r="X1265" s="32">
        <f>(+VLOOKUP(C1265,'Transporte y Viaticos'!$B$87:$L$120,2,0)*'Parametros Generales'!$C$7*R1265)*(2/3)</f>
        <v>0</v>
      </c>
      <c r="Y1265" s="417"/>
      <c r="Z1265" s="1049"/>
      <c r="AA1265" s="1049"/>
      <c r="AB1265" s="1049">
        <f>+M1265*'Parametros Generales'!$C$6*'Parametros Generales'!$J$9</f>
        <v>0</v>
      </c>
      <c r="AC1265" s="1049">
        <f>+H1265*'Parametros Generales'!$J$10*'Parametros Generales'!$C$6*'Parametros Generales'!$C$11</f>
        <v>0</v>
      </c>
      <c r="AD1265" s="1049"/>
      <c r="AE1265" s="1049"/>
      <c r="AF1265" s="1049"/>
      <c r="AG1265" s="1049"/>
      <c r="AH1265" s="1049"/>
      <c r="AI1265" s="1049"/>
      <c r="AJ1265" s="1049"/>
      <c r="AK1265" s="1050"/>
      <c r="AL1265" s="1051"/>
    </row>
    <row r="1266" spans="1:38" s="33" customFormat="1" hidden="1" outlineLevel="1">
      <c r="A1266" s="1150"/>
      <c r="B1266" s="821">
        <f t="shared" si="113"/>
        <v>99</v>
      </c>
      <c r="C1266" s="371" t="str">
        <f t="shared" si="114"/>
        <v>BOGOTÁ</v>
      </c>
      <c r="D1266" s="31"/>
      <c r="E1266" s="1111"/>
      <c r="F1266" s="1103"/>
      <c r="G1266" s="30"/>
      <c r="H1266" s="1090"/>
      <c r="I1266" s="509"/>
      <c r="J1266" s="509"/>
      <c r="K1266" s="1075" t="str">
        <f t="shared" si="105"/>
        <v>Ok</v>
      </c>
      <c r="L1266" s="512">
        <f t="shared" si="106"/>
        <v>0</v>
      </c>
      <c r="M1266" s="1090">
        <f>+H1266/'Parametros Generales'!$C$8</f>
        <v>0</v>
      </c>
      <c r="N1266" s="1097"/>
      <c r="O1266" s="1097"/>
      <c r="P1266" s="1097"/>
      <c r="Q1266" s="1097"/>
      <c r="R1266" s="1097">
        <f>+(M1266/'Parametros Generales'!$C$9)</f>
        <v>0</v>
      </c>
      <c r="S1266" s="390"/>
      <c r="T1266" s="390"/>
      <c r="U1266" s="390"/>
      <c r="V1266" s="389"/>
      <c r="W1266" s="32">
        <f>+R1266*'Componentes T.H.'!$Q$9*'Parametros Generales'!$C$6</f>
        <v>0</v>
      </c>
      <c r="X1266" s="32">
        <f>(+VLOOKUP(C1266,'Transporte y Viaticos'!$B$87:$L$120,2,0)*'Parametros Generales'!$C$7*R1266)*(2/3)</f>
        <v>0</v>
      </c>
      <c r="Y1266" s="417"/>
      <c r="Z1266" s="1049"/>
      <c r="AA1266" s="1049"/>
      <c r="AB1266" s="1049">
        <f>+M1266*'Parametros Generales'!$C$6*'Parametros Generales'!$J$9</f>
        <v>0</v>
      </c>
      <c r="AC1266" s="1049">
        <f>+H1266*'Parametros Generales'!$J$10*'Parametros Generales'!$C$6*'Parametros Generales'!$C$11</f>
        <v>0</v>
      </c>
      <c r="AD1266" s="1049"/>
      <c r="AE1266" s="1049"/>
      <c r="AF1266" s="1049"/>
      <c r="AG1266" s="1049"/>
      <c r="AH1266" s="1049"/>
      <c r="AI1266" s="1049"/>
      <c r="AJ1266" s="1049"/>
      <c r="AK1266" s="1050"/>
      <c r="AL1266" s="1051"/>
    </row>
    <row r="1267" spans="1:38" s="33" customFormat="1" hidden="1" outlineLevel="1">
      <c r="A1267" s="1150"/>
      <c r="B1267" s="821">
        <f t="shared" si="113"/>
        <v>99</v>
      </c>
      <c r="C1267" s="371" t="str">
        <f t="shared" si="114"/>
        <v>BOGOTÁ</v>
      </c>
      <c r="D1267" s="31"/>
      <c r="E1267" s="1111"/>
      <c r="F1267" s="1103"/>
      <c r="G1267" s="30"/>
      <c r="H1267" s="1090"/>
      <c r="I1267" s="509"/>
      <c r="J1267" s="509"/>
      <c r="K1267" s="1075" t="str">
        <f t="shared" si="105"/>
        <v>Ok</v>
      </c>
      <c r="L1267" s="1071">
        <f t="shared" si="106"/>
        <v>0</v>
      </c>
      <c r="M1267" s="1090">
        <f>+H1267/'Parametros Generales'!$C$8</f>
        <v>0</v>
      </c>
      <c r="N1267" s="1097"/>
      <c r="O1267" s="1097"/>
      <c r="P1267" s="1097"/>
      <c r="Q1267" s="1097"/>
      <c r="R1267" s="1097">
        <f>+(M1267/'Parametros Generales'!$C$9)</f>
        <v>0</v>
      </c>
      <c r="S1267" s="390"/>
      <c r="T1267" s="390"/>
      <c r="U1267" s="390"/>
      <c r="V1267" s="389"/>
      <c r="W1267" s="32">
        <f>+R1267*'Componentes T.H.'!$Q$9*'Parametros Generales'!$C$6</f>
        <v>0</v>
      </c>
      <c r="X1267" s="32">
        <f>(+VLOOKUP(C1267,'Transporte y Viaticos'!$B$87:$L$120,2,0)*'Parametros Generales'!$C$7*R1267)*(2/3)</f>
        <v>0</v>
      </c>
      <c r="Y1267" s="417"/>
      <c r="Z1267" s="1049"/>
      <c r="AA1267" s="1049"/>
      <c r="AB1267" s="1049">
        <f>+M1267*'Parametros Generales'!$C$6*'Parametros Generales'!$J$9</f>
        <v>0</v>
      </c>
      <c r="AC1267" s="1049">
        <f>+H1267*'Parametros Generales'!$J$10*'Parametros Generales'!$C$6*'Parametros Generales'!$C$11</f>
        <v>0</v>
      </c>
      <c r="AD1267" s="1049"/>
      <c r="AE1267" s="1049"/>
      <c r="AF1267" s="1049"/>
      <c r="AG1267" s="1049"/>
      <c r="AH1267" s="1049"/>
      <c r="AI1267" s="1049"/>
      <c r="AJ1267" s="1049"/>
      <c r="AK1267" s="1050"/>
      <c r="AL1267" s="1051"/>
    </row>
    <row r="1268" spans="1:38" s="33" customFormat="1" hidden="1" outlineLevel="1">
      <c r="A1268" s="1150"/>
      <c r="B1268" s="821">
        <f t="shared" si="113"/>
        <v>99</v>
      </c>
      <c r="C1268" s="371" t="str">
        <f t="shared" si="114"/>
        <v>BOGOTÁ</v>
      </c>
      <c r="D1268" s="31"/>
      <c r="E1268" s="1111"/>
      <c r="F1268" s="1103"/>
      <c r="G1268" s="30"/>
      <c r="H1268" s="1090"/>
      <c r="I1268" s="509"/>
      <c r="J1268" s="509"/>
      <c r="K1268" s="1075" t="str">
        <f t="shared" si="105"/>
        <v>Ok</v>
      </c>
      <c r="L1268" s="1071">
        <f t="shared" si="106"/>
        <v>0</v>
      </c>
      <c r="M1268" s="1090">
        <f>+H1268/'Parametros Generales'!$C$8</f>
        <v>0</v>
      </c>
      <c r="N1268" s="1097"/>
      <c r="O1268" s="1097"/>
      <c r="P1268" s="1097"/>
      <c r="Q1268" s="1097"/>
      <c r="R1268" s="1097">
        <f>+(M1268/'Parametros Generales'!$C$9)</f>
        <v>0</v>
      </c>
      <c r="S1268" s="390"/>
      <c r="T1268" s="390"/>
      <c r="U1268" s="390"/>
      <c r="V1268" s="389"/>
      <c r="W1268" s="32">
        <f>+R1268*'Componentes T.H.'!$Q$9*'Parametros Generales'!$C$6</f>
        <v>0</v>
      </c>
      <c r="X1268" s="32">
        <f>(+VLOOKUP(C1268,'Transporte y Viaticos'!$B$87:$L$120,2,0)*'Parametros Generales'!$C$7*R1268)*(2/3)</f>
        <v>0</v>
      </c>
      <c r="Y1268" s="417"/>
      <c r="Z1268" s="1049"/>
      <c r="AA1268" s="1049"/>
      <c r="AB1268" s="1049">
        <f>+M1268*'Parametros Generales'!$C$6*'Parametros Generales'!$J$9</f>
        <v>0</v>
      </c>
      <c r="AC1268" s="1049">
        <f>+H1268*'Parametros Generales'!$J$10*'Parametros Generales'!$C$6*'Parametros Generales'!$C$11</f>
        <v>0</v>
      </c>
      <c r="AD1268" s="1049"/>
      <c r="AE1268" s="1049"/>
      <c r="AF1268" s="1049"/>
      <c r="AG1268" s="1049"/>
      <c r="AH1268" s="1049"/>
      <c r="AI1268" s="1049"/>
      <c r="AJ1268" s="1049"/>
      <c r="AK1268" s="1050"/>
      <c r="AL1268" s="1051"/>
    </row>
    <row r="1269" spans="1:38" s="33" customFormat="1" hidden="1" outlineLevel="1">
      <c r="A1269" s="1150"/>
      <c r="B1269" s="821">
        <f t="shared" si="113"/>
        <v>99</v>
      </c>
      <c r="C1269" s="371" t="str">
        <f t="shared" si="114"/>
        <v>BOGOTÁ</v>
      </c>
      <c r="D1269" s="31"/>
      <c r="E1269" s="1111"/>
      <c r="F1269" s="1103"/>
      <c r="G1269" s="30"/>
      <c r="H1269" s="1090"/>
      <c r="I1269" s="509"/>
      <c r="J1269" s="509"/>
      <c r="K1269" s="1075" t="str">
        <f t="shared" si="105"/>
        <v>Ok</v>
      </c>
      <c r="L1269" s="1071">
        <f t="shared" si="106"/>
        <v>0</v>
      </c>
      <c r="M1269" s="1090">
        <f>+H1269/'Parametros Generales'!$C$8</f>
        <v>0</v>
      </c>
      <c r="N1269" s="1097"/>
      <c r="O1269" s="1097"/>
      <c r="P1269" s="1097"/>
      <c r="Q1269" s="1097"/>
      <c r="R1269" s="1097">
        <f>+(M1269/'Parametros Generales'!$C$9)</f>
        <v>0</v>
      </c>
      <c r="S1269" s="390"/>
      <c r="T1269" s="390"/>
      <c r="U1269" s="390"/>
      <c r="V1269" s="389"/>
      <c r="W1269" s="32">
        <f>+R1269*'Componentes T.H.'!$Q$9*'Parametros Generales'!$C$6</f>
        <v>0</v>
      </c>
      <c r="X1269" s="32">
        <f>(+VLOOKUP(C1269,'Transporte y Viaticos'!$B$87:$L$120,2,0)*'Parametros Generales'!$C$7*R1269)*(2/3)</f>
        <v>0</v>
      </c>
      <c r="Y1269" s="417"/>
      <c r="Z1269" s="1049"/>
      <c r="AA1269" s="1049"/>
      <c r="AB1269" s="1049">
        <f>+M1269*'Parametros Generales'!$C$6*'Parametros Generales'!$J$9</f>
        <v>0</v>
      </c>
      <c r="AC1269" s="1049">
        <f>+H1269*'Parametros Generales'!$J$10*'Parametros Generales'!$C$6*'Parametros Generales'!$C$11</f>
        <v>0</v>
      </c>
      <c r="AD1269" s="1049"/>
      <c r="AE1269" s="1049"/>
      <c r="AF1269" s="1049"/>
      <c r="AG1269" s="1049"/>
      <c r="AH1269" s="1049"/>
      <c r="AI1269" s="1049"/>
      <c r="AJ1269" s="1049"/>
      <c r="AK1269" s="1050"/>
      <c r="AL1269" s="1051"/>
    </row>
    <row r="1270" spans="1:38" s="33" customFormat="1" hidden="1" outlineLevel="1">
      <c r="A1270" s="1150"/>
      <c r="B1270" s="821">
        <f t="shared" si="113"/>
        <v>99</v>
      </c>
      <c r="C1270" s="371" t="str">
        <f t="shared" si="114"/>
        <v>BOGOTÁ</v>
      </c>
      <c r="D1270" s="31"/>
      <c r="E1270" s="1111"/>
      <c r="F1270" s="1103"/>
      <c r="G1270" s="30"/>
      <c r="H1270" s="1090"/>
      <c r="I1270" s="509"/>
      <c r="J1270" s="509"/>
      <c r="K1270" s="1075" t="str">
        <f t="shared" si="105"/>
        <v>Ok</v>
      </c>
      <c r="L1270" s="1071">
        <f t="shared" si="106"/>
        <v>0</v>
      </c>
      <c r="M1270" s="1090">
        <f>+H1270/'Parametros Generales'!$C$8</f>
        <v>0</v>
      </c>
      <c r="N1270" s="1097"/>
      <c r="O1270" s="1097"/>
      <c r="P1270" s="1097"/>
      <c r="Q1270" s="1097"/>
      <c r="R1270" s="1097">
        <f>+(M1270/'Parametros Generales'!$C$9)</f>
        <v>0</v>
      </c>
      <c r="S1270" s="390"/>
      <c r="T1270" s="390"/>
      <c r="U1270" s="390"/>
      <c r="V1270" s="389"/>
      <c r="W1270" s="32">
        <f>+R1270*'Componentes T.H.'!$Q$9*'Parametros Generales'!$C$6</f>
        <v>0</v>
      </c>
      <c r="X1270" s="32">
        <f>(+VLOOKUP(C1270,'Transporte y Viaticos'!$B$87:$L$120,2,0)*'Parametros Generales'!$C$7*R1270)*(2/3)</f>
        <v>0</v>
      </c>
      <c r="Y1270" s="417"/>
      <c r="Z1270" s="1049"/>
      <c r="AA1270" s="1049"/>
      <c r="AB1270" s="1049">
        <f>+M1270*'Parametros Generales'!$C$6*'Parametros Generales'!$J$9</f>
        <v>0</v>
      </c>
      <c r="AC1270" s="1049">
        <f>+H1270*'Parametros Generales'!$J$10*'Parametros Generales'!$C$6*'Parametros Generales'!$C$11</f>
        <v>0</v>
      </c>
      <c r="AD1270" s="1049"/>
      <c r="AE1270" s="1049"/>
      <c r="AF1270" s="1049"/>
      <c r="AG1270" s="1049"/>
      <c r="AH1270" s="1049"/>
      <c r="AI1270" s="1049"/>
      <c r="AJ1270" s="1049"/>
      <c r="AK1270" s="1050"/>
      <c r="AL1270" s="1051"/>
    </row>
    <row r="1271" spans="1:38" s="33" customFormat="1" hidden="1" outlineLevel="1">
      <c r="A1271" s="1150"/>
      <c r="B1271" s="821">
        <f t="shared" si="113"/>
        <v>99</v>
      </c>
      <c r="C1271" s="371" t="str">
        <f t="shared" si="114"/>
        <v>BOGOTÁ</v>
      </c>
      <c r="D1271" s="31"/>
      <c r="E1271" s="1111"/>
      <c r="F1271" s="1103"/>
      <c r="G1271" s="30"/>
      <c r="H1271" s="1090"/>
      <c r="I1271" s="509"/>
      <c r="J1271" s="509"/>
      <c r="K1271" s="1075" t="str">
        <f t="shared" si="105"/>
        <v>Ok</v>
      </c>
      <c r="L1271" s="1071">
        <f t="shared" si="106"/>
        <v>0</v>
      </c>
      <c r="M1271" s="1090">
        <f>+H1271/'Parametros Generales'!$C$8</f>
        <v>0</v>
      </c>
      <c r="N1271" s="1097"/>
      <c r="O1271" s="1097"/>
      <c r="P1271" s="1097"/>
      <c r="Q1271" s="1097"/>
      <c r="R1271" s="1097">
        <f>+(M1271/'Parametros Generales'!$C$9)</f>
        <v>0</v>
      </c>
      <c r="S1271" s="390"/>
      <c r="T1271" s="390"/>
      <c r="U1271" s="390"/>
      <c r="V1271" s="389"/>
      <c r="W1271" s="32">
        <f>+R1271*'Componentes T.H.'!$Q$9*'Parametros Generales'!$C$6</f>
        <v>0</v>
      </c>
      <c r="X1271" s="32">
        <f>(+VLOOKUP(C1271,'Transporte y Viaticos'!$B$87:$L$120,2,0)*'Parametros Generales'!$C$7*R1271)*(2/3)</f>
        <v>0</v>
      </c>
      <c r="Y1271" s="417"/>
      <c r="Z1271" s="1049"/>
      <c r="AA1271" s="1049"/>
      <c r="AB1271" s="1049">
        <f>+M1271*'Parametros Generales'!$C$6*'Parametros Generales'!$J$9</f>
        <v>0</v>
      </c>
      <c r="AC1271" s="1049">
        <f>+H1271*'Parametros Generales'!$J$10*'Parametros Generales'!$C$6*'Parametros Generales'!$C$11</f>
        <v>0</v>
      </c>
      <c r="AD1271" s="1049"/>
      <c r="AE1271" s="1049"/>
      <c r="AF1271" s="1049"/>
      <c r="AG1271" s="1049"/>
      <c r="AH1271" s="1049"/>
      <c r="AI1271" s="1049"/>
      <c r="AJ1271" s="1049"/>
      <c r="AK1271" s="1050"/>
      <c r="AL1271" s="1051"/>
    </row>
    <row r="1272" spans="1:38" s="33" customFormat="1" hidden="1" outlineLevel="1">
      <c r="A1272" s="1150"/>
      <c r="B1272" s="821">
        <f t="shared" si="113"/>
        <v>99</v>
      </c>
      <c r="C1272" s="371" t="str">
        <f t="shared" si="114"/>
        <v>BOGOTÁ</v>
      </c>
      <c r="D1272" s="31"/>
      <c r="E1272" s="1111"/>
      <c r="F1272" s="1103"/>
      <c r="G1272" s="30"/>
      <c r="H1272" s="1090"/>
      <c r="I1272" s="509"/>
      <c r="J1272" s="509"/>
      <c r="K1272" s="1075" t="str">
        <f t="shared" si="105"/>
        <v>Ok</v>
      </c>
      <c r="L1272" s="1071">
        <f t="shared" si="106"/>
        <v>0</v>
      </c>
      <c r="M1272" s="1090">
        <f>+H1272/'Parametros Generales'!$C$8</f>
        <v>0</v>
      </c>
      <c r="N1272" s="1097"/>
      <c r="O1272" s="1097"/>
      <c r="P1272" s="1097"/>
      <c r="Q1272" s="1097"/>
      <c r="R1272" s="1097">
        <f>+(M1272/'Parametros Generales'!$C$9)</f>
        <v>0</v>
      </c>
      <c r="S1272" s="390"/>
      <c r="T1272" s="390"/>
      <c r="U1272" s="390"/>
      <c r="V1272" s="389"/>
      <c r="W1272" s="32">
        <f>+R1272*'Componentes T.H.'!$Q$9*'Parametros Generales'!$C$6</f>
        <v>0</v>
      </c>
      <c r="X1272" s="32">
        <f>(+VLOOKUP(C1272,'Transporte y Viaticos'!$B$87:$L$120,2,0)*'Parametros Generales'!$C$7*R1272)*(2/3)</f>
        <v>0</v>
      </c>
      <c r="Y1272" s="417"/>
      <c r="Z1272" s="1049"/>
      <c r="AA1272" s="1049"/>
      <c r="AB1272" s="1049">
        <f>+M1272*'Parametros Generales'!$C$6*'Parametros Generales'!$J$9</f>
        <v>0</v>
      </c>
      <c r="AC1272" s="1049">
        <f>+H1272*'Parametros Generales'!$J$10*'Parametros Generales'!$C$6*'Parametros Generales'!$C$11</f>
        <v>0</v>
      </c>
      <c r="AD1272" s="1049"/>
      <c r="AE1272" s="1049"/>
      <c r="AF1272" s="1049"/>
      <c r="AG1272" s="1049"/>
      <c r="AH1272" s="1049"/>
      <c r="AI1272" s="1049"/>
      <c r="AJ1272" s="1049"/>
      <c r="AK1272" s="1050"/>
      <c r="AL1272" s="1051"/>
    </row>
    <row r="1273" spans="1:38" s="33" customFormat="1" hidden="1" outlineLevel="1">
      <c r="A1273" s="1150"/>
      <c r="B1273" s="821">
        <f t="shared" si="113"/>
        <v>99</v>
      </c>
      <c r="C1273" s="371" t="str">
        <f t="shared" si="114"/>
        <v>BOGOTÁ</v>
      </c>
      <c r="D1273" s="31"/>
      <c r="E1273" s="1111"/>
      <c r="F1273" s="1103"/>
      <c r="G1273" s="30"/>
      <c r="H1273" s="1090"/>
      <c r="I1273" s="509"/>
      <c r="J1273" s="509"/>
      <c r="K1273" s="1075" t="str">
        <f t="shared" si="105"/>
        <v>Ok</v>
      </c>
      <c r="L1273" s="1071">
        <f t="shared" si="106"/>
        <v>0</v>
      </c>
      <c r="M1273" s="1090">
        <f>+H1273/'Parametros Generales'!$C$8</f>
        <v>0</v>
      </c>
      <c r="N1273" s="1097"/>
      <c r="O1273" s="1097"/>
      <c r="P1273" s="1097"/>
      <c r="Q1273" s="1097"/>
      <c r="R1273" s="1097">
        <f>+(M1273/'Parametros Generales'!$C$9)</f>
        <v>0</v>
      </c>
      <c r="S1273" s="390"/>
      <c r="T1273" s="390"/>
      <c r="U1273" s="390"/>
      <c r="V1273" s="389"/>
      <c r="W1273" s="32">
        <f>+R1273*'Componentes T.H.'!$Q$9*'Parametros Generales'!$C$6</f>
        <v>0</v>
      </c>
      <c r="X1273" s="32">
        <f>(+VLOOKUP(C1273,'Transporte y Viaticos'!$B$87:$L$120,2,0)*'Parametros Generales'!$C$7*R1273)*(2/3)</f>
        <v>0</v>
      </c>
      <c r="Y1273" s="417"/>
      <c r="Z1273" s="1049"/>
      <c r="AA1273" s="1049"/>
      <c r="AB1273" s="1049">
        <f>+M1273*'Parametros Generales'!$C$6*'Parametros Generales'!$J$9</f>
        <v>0</v>
      </c>
      <c r="AC1273" s="1049">
        <f>+H1273*'Parametros Generales'!$J$10*'Parametros Generales'!$C$6*'Parametros Generales'!$C$11</f>
        <v>0</v>
      </c>
      <c r="AD1273" s="1049"/>
      <c r="AE1273" s="1049"/>
      <c r="AF1273" s="1049"/>
      <c r="AG1273" s="1049"/>
      <c r="AH1273" s="1049"/>
      <c r="AI1273" s="1049"/>
      <c r="AJ1273" s="1049"/>
      <c r="AK1273" s="1050"/>
      <c r="AL1273" s="1051"/>
    </row>
    <row r="1274" spans="1:38" s="33" customFormat="1" hidden="1" outlineLevel="1">
      <c r="A1274" s="1150"/>
      <c r="B1274" s="821">
        <f t="shared" si="113"/>
        <v>99</v>
      </c>
      <c r="C1274" s="371" t="str">
        <f t="shared" si="114"/>
        <v>BOGOTÁ</v>
      </c>
      <c r="D1274" s="31"/>
      <c r="E1274" s="1111"/>
      <c r="F1274" s="1103"/>
      <c r="G1274" s="30"/>
      <c r="H1274" s="1090"/>
      <c r="I1274" s="509"/>
      <c r="J1274" s="509"/>
      <c r="K1274" s="1075" t="str">
        <f t="shared" si="105"/>
        <v>Ok</v>
      </c>
      <c r="L1274" s="1071">
        <f t="shared" si="106"/>
        <v>0</v>
      </c>
      <c r="M1274" s="1090">
        <f>+H1274/'Parametros Generales'!$C$8</f>
        <v>0</v>
      </c>
      <c r="N1274" s="1097"/>
      <c r="O1274" s="1097"/>
      <c r="P1274" s="1097"/>
      <c r="Q1274" s="1097"/>
      <c r="R1274" s="1097">
        <f>+(M1274/'Parametros Generales'!$C$9)</f>
        <v>0</v>
      </c>
      <c r="S1274" s="390"/>
      <c r="T1274" s="390"/>
      <c r="U1274" s="390"/>
      <c r="V1274" s="389"/>
      <c r="W1274" s="32">
        <f>+R1274*'Componentes T.H.'!$Q$9*'Parametros Generales'!$C$6</f>
        <v>0</v>
      </c>
      <c r="X1274" s="32">
        <f>(+VLOOKUP(C1274,'Transporte y Viaticos'!$B$87:$L$120,2,0)*'Parametros Generales'!$C$7*R1274)*(2/3)</f>
        <v>0</v>
      </c>
      <c r="Y1274" s="417"/>
      <c r="Z1274" s="1049"/>
      <c r="AA1274" s="1049"/>
      <c r="AB1274" s="1049">
        <f>+M1274*'Parametros Generales'!$C$6*'Parametros Generales'!$J$9</f>
        <v>0</v>
      </c>
      <c r="AC1274" s="1049">
        <f>+H1274*'Parametros Generales'!$J$10*'Parametros Generales'!$C$6*'Parametros Generales'!$C$11</f>
        <v>0</v>
      </c>
      <c r="AD1274" s="1049"/>
      <c r="AE1274" s="1049"/>
      <c r="AF1274" s="1049"/>
      <c r="AG1274" s="1049"/>
      <c r="AH1274" s="1049"/>
      <c r="AI1274" s="1049"/>
      <c r="AJ1274" s="1049"/>
      <c r="AK1274" s="1050"/>
      <c r="AL1274" s="1051"/>
    </row>
    <row r="1275" spans="1:38" s="33" customFormat="1" ht="14.25" thickBot="1">
      <c r="A1275" s="1150"/>
      <c r="B1275" s="826"/>
      <c r="C1275" s="1128" t="s">
        <v>1362</v>
      </c>
      <c r="D1275" s="827"/>
      <c r="E1275" s="1125" t="str">
        <f>+C1275</f>
        <v>SUBTOTAL GCB</v>
      </c>
      <c r="F1275" s="829">
        <f>+F2+F103+F144+F185+F238+F317+F358+F379+F430+F464+F504+F582+F618+F654+F679+F725+F757+F759+F838+F871+F897+F919+F953+F993+F1038+F1095+F1119+F1145+F1169+F1185+F1204+F1218+F1233+F1246+F1263</f>
        <v>751</v>
      </c>
      <c r="G1275" s="829">
        <f>+G2+G103+G144+G185+G238+G317+G358+G379+G430+G464+G504+G582+G618+G654+G679+G725+G757+G759+G838+G871+G897+G919+G953+G993+G1038+G1095+G1119+G1145+G1169+G1185+G1204+G1218+G1233+G1246+G1263</f>
        <v>222900</v>
      </c>
      <c r="H1275" s="829">
        <f>+H2+H103+H144+H185+H238+H317+H358+H379+H430+H464+H504+H582+H618+H654+H679+H725+H757+H759+H838+H871+H897+H919+H953+H993+H1038+H1095+H1119+H1145+H1169+H1185+H1204+H1218+H1233+H1246+H1263</f>
        <v>175400</v>
      </c>
      <c r="I1275" s="1066"/>
      <c r="J1275" s="828">
        <f>+J2+J103+J144+J185+J238+J317+J358+J379+J430+J464+J504+J582+J618+J654+J679+J725+J757+J759+J838+J871+J897+J919+J953+J993+J1038+J1095+J1119+J1145+J1169+J1185+J1204+J1218+J1233+J1246+J1263</f>
        <v>175400</v>
      </c>
      <c r="K1275" s="1080"/>
      <c r="L1275" s="1081"/>
      <c r="M1275" s="829">
        <f t="shared" ref="M1275:S1275" si="115">+M2+M103+M144+M185+M238+M317+M358+M379+M430+M464+M504+M582+M618+M654+M679+M725+M757+M759+M838+M871+M897+M919+M953+M993+M1038+M1095+M1119+M1145+M1169+M1185+M1204+M1218+M1233+M1246+M1263</f>
        <v>7016</v>
      </c>
      <c r="N1275" s="828">
        <f t="shared" si="115"/>
        <v>22.999999999999993</v>
      </c>
      <c r="O1275" s="828">
        <f t="shared" si="115"/>
        <v>22.999999999999993</v>
      </c>
      <c r="P1275" s="828">
        <f t="shared" si="115"/>
        <v>22.999999999999993</v>
      </c>
      <c r="Q1275" s="828">
        <f t="shared" si="115"/>
        <v>219.25</v>
      </c>
      <c r="R1275" s="828">
        <f t="shared" si="115"/>
        <v>1754</v>
      </c>
      <c r="S1275" s="830">
        <f t="shared" si="115"/>
        <v>337105575.16633338</v>
      </c>
      <c r="T1275" s="830">
        <f t="shared" ref="T1275:AK1275" si="116">+T2+T103+T144+T185+T238+T317+T358+T379+T430+T464+T504+T582+T618+T654+T679+T725+T757+T759+T838+T871+T897+T919+T953+T993+T1038+T1095+T1119+T1145+T1169+T1185+T1204+T1218+T1233+T1246+T1263</f>
        <v>254007760.15699992</v>
      </c>
      <c r="U1275" s="830">
        <f t="shared" si="116"/>
        <v>112479936</v>
      </c>
      <c r="V1275" s="830">
        <f t="shared" si="116"/>
        <v>2190537171.9025836</v>
      </c>
      <c r="W1275" s="830">
        <f t="shared" si="116"/>
        <v>8802461402.5339985</v>
      </c>
      <c r="X1275" s="830">
        <f t="shared" si="116"/>
        <v>1309779539.1208665</v>
      </c>
      <c r="Y1275" s="830">
        <f t="shared" si="116"/>
        <v>62563508.971466921</v>
      </c>
      <c r="Z1275" s="830">
        <f t="shared" si="116"/>
        <v>52153455</v>
      </c>
      <c r="AA1275" s="830">
        <f t="shared" si="116"/>
        <v>366583875</v>
      </c>
      <c r="AB1275" s="830">
        <f t="shared" si="116"/>
        <v>3416154181.8181829</v>
      </c>
      <c r="AC1275" s="830">
        <f t="shared" si="116"/>
        <v>12925663419.011229</v>
      </c>
      <c r="AD1275" s="830">
        <f t="shared" si="116"/>
        <v>68701290</v>
      </c>
      <c r="AE1275" s="830">
        <f t="shared" si="116"/>
        <v>29898191114.681652</v>
      </c>
      <c r="AF1275" s="830">
        <f t="shared" si="116"/>
        <v>2048026091.3556941</v>
      </c>
      <c r="AG1275" s="830">
        <f t="shared" si="116"/>
        <v>31946217206.03735</v>
      </c>
      <c r="AH1275" s="830">
        <f t="shared" si="116"/>
        <v>308600458.21032071</v>
      </c>
      <c r="AI1275" s="830">
        <f t="shared" si="116"/>
        <v>87088007.69346872</v>
      </c>
      <c r="AJ1275" s="830">
        <f t="shared" si="116"/>
        <v>129367622.68776459</v>
      </c>
      <c r="AK1275" s="830">
        <f t="shared" si="116"/>
        <v>32471273294.628899</v>
      </c>
      <c r="AL1275" s="831">
        <f>+(AK1275/H1275)/'Parametros Generales'!$C$6</f>
        <v>37025.397143248454</v>
      </c>
    </row>
    <row r="1276" spans="1:38" s="33" customFormat="1">
      <c r="A1276" s="1150"/>
      <c r="B1276" s="1094" t="s">
        <v>2343</v>
      </c>
      <c r="E1276" s="34"/>
      <c r="G1276" s="35"/>
      <c r="H1276" s="510"/>
      <c r="I1276" s="510"/>
      <c r="J1276" s="510"/>
      <c r="K1276" s="510"/>
      <c r="L1276" s="511"/>
      <c r="M1276" s="35"/>
      <c r="N1276" s="515" t="str">
        <f>+IF(N1275='Componentes T.H.'!U6,"Ok","Revisar")</f>
        <v>Ok</v>
      </c>
      <c r="O1276" s="515" t="str">
        <f>+IF(O1275='Componentes T.H.'!U7,"Ok","Revisar")</f>
        <v>Ok</v>
      </c>
      <c r="P1276" s="515" t="str">
        <f>+IF(P1275='Componentes T.H.'!U10,"Ok","Revisar")</f>
        <v>Ok</v>
      </c>
      <c r="Q1276" s="515" t="str">
        <f>+IF(Q1275='Componentes T.H.'!U8,"Ok","Revisar")</f>
        <v>Ok</v>
      </c>
      <c r="R1276" s="515" t="str">
        <f>+IF(R1275='Componentes T.H.'!U9,"Ok","Revisar")</f>
        <v>Ok</v>
      </c>
      <c r="S1276" s="93" t="str">
        <f>+IF(S1275='Componentes T.H.'!V6,"Ok","Revisar")</f>
        <v>Ok</v>
      </c>
      <c r="T1276" s="93" t="str">
        <f>+IF(T1275='Componentes T.H.'!V7,"Ok","Revisar")</f>
        <v>Ok</v>
      </c>
      <c r="U1276" s="93" t="str">
        <f>+IF(U1275='Componentes T.H.'!V10,"Ok","Revisar")</f>
        <v>Ok</v>
      </c>
      <c r="V1276" s="93" t="str">
        <f>+IF(V1275='Componentes T.H.'!V8,"Ok","Revisar")</f>
        <v>Ok</v>
      </c>
      <c r="W1276" s="93" t="str">
        <f>+IF(ROUND(W1275,4)=ROUND('Componentes T.H.'!V9,4),"Ok","Revisar")</f>
        <v>Ok</v>
      </c>
      <c r="X1276" s="93"/>
      <c r="Y1276" s="36"/>
      <c r="Z1276" s="36"/>
      <c r="AA1276" s="36"/>
      <c r="AB1276" s="36"/>
      <c r="AC1276" s="36"/>
      <c r="AD1276" s="36"/>
      <c r="AE1276" s="36"/>
      <c r="AF1276" s="36"/>
      <c r="AG1276" s="36"/>
      <c r="AH1276" s="36"/>
      <c r="AI1276" s="36"/>
      <c r="AJ1276" s="36"/>
      <c r="AK1276" s="93" t="str">
        <f>+IF(ROUND('Res de Costos Pais'!H142,0)=ROUND('Cost x Depart'!AK1275,0),"Ok","Rev")</f>
        <v>Ok</v>
      </c>
      <c r="AL1276" s="36"/>
    </row>
    <row r="1277" spans="1:38" s="33" customFormat="1">
      <c r="A1277" s="1150"/>
      <c r="E1277" s="34"/>
      <c r="G1277" s="35"/>
      <c r="H1277" s="510"/>
      <c r="I1277" s="510"/>
      <c r="J1277" s="510"/>
      <c r="K1277" s="510"/>
      <c r="L1277" s="511"/>
      <c r="M1277" s="35"/>
      <c r="N1277" s="35"/>
      <c r="O1277" s="35"/>
      <c r="P1277" s="35"/>
      <c r="Q1277" s="35"/>
      <c r="R1277" s="35"/>
      <c r="S1277" s="36"/>
      <c r="T1277" s="36"/>
      <c r="U1277" s="36"/>
      <c r="V1277" s="36"/>
      <c r="W1277" s="513"/>
      <c r="X1277" s="36"/>
      <c r="Y1277" s="36"/>
      <c r="Z1277" s="36"/>
      <c r="AA1277" s="36"/>
      <c r="AB1277" s="36"/>
      <c r="AC1277" s="36"/>
      <c r="AD1277" s="36"/>
      <c r="AE1277" s="36"/>
      <c r="AF1277" s="36"/>
      <c r="AG1277" s="36"/>
      <c r="AH1277" s="36"/>
      <c r="AI1277" s="36"/>
      <c r="AJ1277" s="36"/>
      <c r="AK1277" s="36"/>
      <c r="AL1277" s="36"/>
    </row>
    <row r="1278" spans="1:38" s="33" customFormat="1">
      <c r="A1278" s="1150"/>
      <c r="H1278" s="36"/>
      <c r="I1278" s="510"/>
      <c r="J1278" s="510"/>
      <c r="K1278" s="510"/>
      <c r="L1278" s="1079"/>
    </row>
    <row r="1279" spans="1:38" s="33" customFormat="1">
      <c r="A1279" s="1150"/>
      <c r="E1279" s="34"/>
      <c r="G1279" s="35"/>
      <c r="H1279" s="510"/>
      <c r="I1279" s="510"/>
      <c r="J1279" s="510"/>
      <c r="K1279" s="510"/>
      <c r="L1279" s="511"/>
      <c r="M1279" s="35"/>
      <c r="N1279" s="35"/>
      <c r="O1279" s="35"/>
      <c r="P1279" s="35"/>
      <c r="Q1279" s="35"/>
      <c r="R1279" s="35"/>
      <c r="S1279" s="36"/>
      <c r="T1279" s="36"/>
      <c r="U1279" s="36"/>
      <c r="V1279" s="36"/>
      <c r="W1279" s="36"/>
      <c r="X1279" s="36"/>
      <c r="Y1279" s="36"/>
      <c r="Z1279" s="36"/>
      <c r="AA1279" s="36"/>
      <c r="AB1279" s="36"/>
      <c r="AC1279" s="36"/>
      <c r="AD1279" s="36"/>
      <c r="AE1279" s="36"/>
      <c r="AF1279" s="36"/>
      <c r="AG1279" s="36"/>
      <c r="AH1279" s="36"/>
      <c r="AI1279" s="36"/>
      <c r="AJ1279" s="36"/>
      <c r="AK1279" s="36"/>
      <c r="AL1279" s="36"/>
    </row>
    <row r="1280" spans="1:38" s="33" customFormat="1">
      <c r="A1280" s="1150"/>
      <c r="E1280" s="34"/>
      <c r="G1280" s="35"/>
      <c r="H1280" s="510"/>
      <c r="I1280" s="510"/>
      <c r="J1280" s="510"/>
      <c r="K1280" s="510"/>
      <c r="L1280" s="511"/>
      <c r="M1280" s="35"/>
      <c r="N1280" s="35"/>
      <c r="O1280" s="35"/>
      <c r="P1280" s="35"/>
      <c r="Q1280" s="35"/>
      <c r="R1280" s="35"/>
      <c r="S1280" s="36"/>
      <c r="T1280" s="36"/>
      <c r="U1280" s="36"/>
      <c r="V1280" s="36"/>
      <c r="W1280" s="36"/>
      <c r="X1280" s="36"/>
      <c r="Y1280" s="36"/>
      <c r="Z1280" s="36"/>
      <c r="AA1280" s="36"/>
      <c r="AB1280" s="36"/>
      <c r="AC1280" s="36"/>
      <c r="AD1280" s="36"/>
      <c r="AE1280" s="36"/>
      <c r="AF1280" s="36"/>
      <c r="AG1280" s="36"/>
      <c r="AH1280" s="36"/>
      <c r="AI1280" s="36"/>
      <c r="AJ1280" s="36"/>
      <c r="AK1280" s="36"/>
      <c r="AL1280" s="36"/>
    </row>
    <row r="1281" spans="1:38" s="33" customFormat="1">
      <c r="A1281" s="1150"/>
      <c r="E1281" s="34"/>
      <c r="G1281" s="35"/>
      <c r="H1281" s="510"/>
      <c r="I1281" s="510"/>
      <c r="J1281" s="510"/>
      <c r="K1281" s="510"/>
      <c r="M1281" s="35"/>
      <c r="N1281" s="35"/>
      <c r="O1281" s="35"/>
      <c r="P1281" s="35"/>
      <c r="Q1281" s="35"/>
      <c r="R1281" s="35"/>
      <c r="S1281" s="36"/>
      <c r="T1281" s="36"/>
      <c r="U1281" s="36"/>
      <c r="V1281" s="36"/>
      <c r="W1281" s="36"/>
      <c r="X1281" s="36"/>
      <c r="Y1281" s="36"/>
      <c r="Z1281" s="36"/>
      <c r="AA1281" s="36"/>
      <c r="AB1281" s="36"/>
      <c r="AC1281" s="36"/>
      <c r="AD1281" s="36"/>
      <c r="AE1281" s="36"/>
      <c r="AF1281" s="36"/>
      <c r="AG1281" s="36"/>
      <c r="AH1281" s="36"/>
      <c r="AI1281" s="36"/>
      <c r="AJ1281" s="36"/>
      <c r="AK1281" s="36"/>
      <c r="AL1281" s="36"/>
    </row>
    <row r="1282" spans="1:38" s="33" customFormat="1">
      <c r="A1282" s="1150"/>
      <c r="E1282" s="34"/>
      <c r="G1282" s="35"/>
      <c r="H1282" s="510"/>
      <c r="I1282" s="510"/>
      <c r="J1282" s="510"/>
      <c r="K1282" s="510"/>
      <c r="L1282" s="510"/>
      <c r="M1282" s="35"/>
      <c r="N1282" s="35"/>
      <c r="O1282" s="35"/>
      <c r="P1282" s="35"/>
      <c r="Q1282" s="35"/>
      <c r="R1282" s="35"/>
      <c r="S1282" s="36"/>
      <c r="T1282" s="36"/>
      <c r="U1282" s="36"/>
      <c r="V1282" s="36"/>
      <c r="W1282" s="36"/>
      <c r="X1282" s="36"/>
      <c r="Y1282" s="36"/>
      <c r="Z1282" s="36"/>
      <c r="AA1282" s="36"/>
      <c r="AB1282" s="36"/>
      <c r="AC1282" s="36"/>
      <c r="AD1282" s="36"/>
      <c r="AE1282" s="36"/>
      <c r="AF1282" s="36"/>
      <c r="AG1282" s="36"/>
      <c r="AH1282" s="36"/>
      <c r="AI1282" s="36"/>
      <c r="AJ1282" s="36"/>
      <c r="AK1282" s="36"/>
      <c r="AL1282" s="36"/>
    </row>
    <row r="1283" spans="1:38" s="33" customFormat="1">
      <c r="A1283" s="1150"/>
      <c r="E1283" s="34"/>
      <c r="G1283" s="35"/>
      <c r="H1283" s="510"/>
      <c r="I1283" s="510"/>
      <c r="J1283" s="510"/>
      <c r="K1283" s="510"/>
      <c r="L1283" s="510"/>
      <c r="M1283" s="35"/>
      <c r="N1283" s="35"/>
      <c r="O1283" s="35"/>
      <c r="P1283" s="35"/>
      <c r="Q1283" s="35"/>
      <c r="R1283" s="35"/>
      <c r="S1283" s="36"/>
      <c r="T1283" s="36"/>
      <c r="U1283" s="36"/>
      <c r="V1283" s="36"/>
      <c r="W1283" s="36"/>
      <c r="X1283" s="36"/>
      <c r="Y1283" s="36"/>
      <c r="Z1283" s="36"/>
      <c r="AA1283" s="36"/>
      <c r="AB1283" s="36"/>
      <c r="AC1283" s="36"/>
      <c r="AD1283" s="36"/>
      <c r="AE1283" s="36"/>
      <c r="AF1283" s="36"/>
      <c r="AG1283" s="36"/>
      <c r="AH1283" s="36"/>
      <c r="AI1283" s="36"/>
      <c r="AJ1283" s="36"/>
      <c r="AK1283" s="36"/>
      <c r="AL1283" s="36"/>
    </row>
    <row r="1284" spans="1:38" s="33" customFormat="1">
      <c r="A1284" s="1150"/>
      <c r="E1284" s="34"/>
      <c r="G1284" s="35"/>
      <c r="H1284" s="510"/>
      <c r="I1284" s="510"/>
      <c r="J1284" s="510"/>
      <c r="K1284" s="510"/>
      <c r="L1284" s="510"/>
      <c r="M1284" s="35"/>
      <c r="N1284" s="35"/>
      <c r="O1284" s="35"/>
      <c r="P1284" s="35"/>
      <c r="Q1284" s="35"/>
      <c r="R1284" s="35"/>
      <c r="S1284" s="36"/>
      <c r="T1284" s="36"/>
      <c r="U1284" s="36"/>
      <c r="V1284" s="36"/>
      <c r="W1284" s="36"/>
      <c r="X1284" s="36"/>
      <c r="Y1284" s="36"/>
      <c r="Z1284" s="36"/>
      <c r="AA1284" s="36"/>
      <c r="AB1284" s="36"/>
      <c r="AC1284" s="36"/>
      <c r="AD1284" s="36"/>
      <c r="AE1284" s="36"/>
      <c r="AF1284" s="36"/>
      <c r="AG1284" s="36"/>
      <c r="AH1284" s="36"/>
      <c r="AI1284" s="36"/>
      <c r="AJ1284" s="36"/>
      <c r="AK1284" s="36"/>
      <c r="AL1284" s="36"/>
    </row>
    <row r="1285" spans="1:38" s="33" customFormat="1">
      <c r="A1285" s="1150"/>
      <c r="E1285" s="34"/>
      <c r="G1285" s="35"/>
      <c r="H1285" s="510"/>
      <c r="I1285" s="510"/>
      <c r="J1285" s="510"/>
      <c r="K1285" s="510"/>
      <c r="L1285" s="510"/>
      <c r="M1285" s="35"/>
      <c r="N1285" s="35"/>
      <c r="O1285" s="35"/>
      <c r="P1285" s="35"/>
      <c r="Q1285" s="35"/>
      <c r="R1285" s="35"/>
      <c r="S1285" s="36"/>
      <c r="T1285" s="36"/>
      <c r="U1285" s="36"/>
      <c r="V1285" s="36"/>
      <c r="W1285" s="36"/>
      <c r="X1285" s="36"/>
      <c r="Y1285" s="36"/>
      <c r="Z1285" s="36"/>
      <c r="AA1285" s="36"/>
      <c r="AB1285" s="36"/>
      <c r="AC1285" s="36"/>
      <c r="AD1285" s="36"/>
      <c r="AE1285" s="36"/>
      <c r="AF1285" s="36"/>
      <c r="AG1285" s="36"/>
      <c r="AH1285" s="36"/>
      <c r="AI1285" s="36"/>
      <c r="AJ1285" s="36"/>
      <c r="AK1285" s="36"/>
      <c r="AL1285" s="36"/>
    </row>
    <row r="1286" spans="1:38" s="33" customFormat="1">
      <c r="A1286" s="1150"/>
      <c r="E1286" s="34"/>
      <c r="G1286" s="35"/>
      <c r="H1286" s="510"/>
      <c r="I1286" s="510"/>
      <c r="J1286" s="510"/>
      <c r="K1286" s="510"/>
      <c r="L1286" s="510"/>
      <c r="M1286" s="35"/>
      <c r="N1286" s="35"/>
      <c r="O1286" s="35"/>
      <c r="P1286" s="35"/>
      <c r="Q1286" s="35"/>
      <c r="R1286" s="35"/>
      <c r="S1286" s="36"/>
      <c r="T1286" s="36"/>
      <c r="U1286" s="36"/>
      <c r="V1286" s="36"/>
      <c r="W1286" s="36"/>
      <c r="X1286" s="36"/>
      <c r="Y1286" s="36"/>
      <c r="Z1286" s="36"/>
      <c r="AA1286" s="36"/>
      <c r="AB1286" s="36"/>
      <c r="AC1286" s="36"/>
      <c r="AD1286" s="36"/>
      <c r="AE1286" s="36"/>
      <c r="AF1286" s="36"/>
      <c r="AG1286" s="36"/>
      <c r="AH1286" s="36"/>
      <c r="AI1286" s="36"/>
      <c r="AJ1286" s="36"/>
      <c r="AK1286" s="36"/>
      <c r="AL1286" s="36"/>
    </row>
    <row r="1287" spans="1:38" s="33" customFormat="1">
      <c r="A1287" s="1150"/>
      <c r="E1287" s="34"/>
      <c r="G1287" s="35"/>
      <c r="H1287" s="510"/>
      <c r="I1287" s="510"/>
      <c r="J1287" s="510"/>
      <c r="K1287" s="510"/>
      <c r="L1287" s="510"/>
      <c r="M1287" s="35"/>
      <c r="N1287" s="35"/>
      <c r="O1287" s="35"/>
      <c r="P1287" s="35"/>
      <c r="Q1287" s="35"/>
      <c r="R1287" s="35"/>
      <c r="S1287" s="36"/>
      <c r="T1287" s="36"/>
      <c r="U1287" s="36"/>
      <c r="V1287" s="36"/>
      <c r="W1287" s="36"/>
      <c r="X1287" s="36"/>
      <c r="Y1287" s="36"/>
      <c r="Z1287" s="36"/>
      <c r="AA1287" s="36"/>
      <c r="AB1287" s="36"/>
      <c r="AC1287" s="36"/>
      <c r="AD1287" s="36"/>
      <c r="AE1287" s="36"/>
      <c r="AF1287" s="36"/>
      <c r="AG1287" s="36"/>
      <c r="AH1287" s="36"/>
      <c r="AI1287" s="36"/>
      <c r="AJ1287" s="36"/>
      <c r="AK1287" s="36"/>
      <c r="AL1287" s="36"/>
    </row>
    <row r="1288" spans="1:38" s="33" customFormat="1">
      <c r="A1288" s="1150"/>
      <c r="E1288" s="34"/>
      <c r="G1288" s="35"/>
      <c r="H1288" s="510"/>
      <c r="I1288" s="510"/>
      <c r="J1288" s="510"/>
      <c r="K1288" s="510"/>
      <c r="L1288" s="510"/>
      <c r="M1288" s="35"/>
      <c r="N1288" s="35"/>
      <c r="O1288" s="35"/>
      <c r="P1288" s="35"/>
      <c r="Q1288" s="35"/>
      <c r="R1288" s="35"/>
      <c r="S1288" s="36"/>
      <c r="T1288" s="36"/>
      <c r="U1288" s="36"/>
      <c r="V1288" s="36"/>
      <c r="W1288" s="36"/>
      <c r="X1288" s="36"/>
      <c r="Y1288" s="36"/>
      <c r="Z1288" s="36"/>
      <c r="AA1288" s="36"/>
      <c r="AB1288" s="36"/>
      <c r="AC1288" s="36"/>
      <c r="AD1288" s="36"/>
      <c r="AE1288" s="36"/>
      <c r="AF1288" s="36"/>
      <c r="AG1288" s="36"/>
      <c r="AH1288" s="36"/>
      <c r="AI1288" s="36"/>
      <c r="AJ1288" s="36"/>
      <c r="AK1288" s="36"/>
      <c r="AL1288" s="36"/>
    </row>
    <row r="1289" spans="1:38" s="33" customFormat="1">
      <c r="A1289" s="1150"/>
      <c r="E1289" s="34"/>
      <c r="G1289" s="35"/>
      <c r="H1289" s="510"/>
      <c r="I1289" s="510"/>
      <c r="J1289" s="510"/>
      <c r="K1289" s="510"/>
      <c r="L1289" s="510"/>
      <c r="M1289" s="35"/>
      <c r="N1289" s="35"/>
      <c r="O1289" s="35"/>
      <c r="P1289" s="35"/>
      <c r="Q1289" s="35"/>
      <c r="R1289" s="35"/>
      <c r="S1289" s="36"/>
      <c r="T1289" s="36"/>
      <c r="U1289" s="36"/>
      <c r="V1289" s="36"/>
      <c r="W1289" s="36"/>
      <c r="X1289" s="36"/>
      <c r="Y1289" s="36"/>
      <c r="Z1289" s="36"/>
      <c r="AA1289" s="36"/>
      <c r="AB1289" s="36"/>
      <c r="AC1289" s="36"/>
      <c r="AD1289" s="36"/>
      <c r="AE1289" s="36"/>
      <c r="AF1289" s="36"/>
      <c r="AG1289" s="36"/>
      <c r="AH1289" s="36"/>
      <c r="AI1289" s="36"/>
      <c r="AJ1289" s="36"/>
      <c r="AK1289" s="36"/>
      <c r="AL1289" s="36"/>
    </row>
    <row r="1290" spans="1:38" s="33" customFormat="1">
      <c r="A1290" s="1150"/>
      <c r="E1290" s="34"/>
      <c r="G1290" s="35"/>
      <c r="H1290" s="510"/>
      <c r="I1290" s="510"/>
      <c r="J1290" s="510"/>
      <c r="K1290" s="510"/>
      <c r="L1290" s="510"/>
      <c r="M1290" s="35"/>
      <c r="N1290" s="35"/>
      <c r="O1290" s="35"/>
      <c r="P1290" s="35"/>
      <c r="Q1290" s="35"/>
      <c r="R1290" s="35"/>
      <c r="S1290" s="36"/>
      <c r="T1290" s="36"/>
      <c r="U1290" s="36"/>
      <c r="V1290" s="36"/>
      <c r="W1290" s="36"/>
      <c r="X1290" s="36"/>
      <c r="Y1290" s="36"/>
      <c r="Z1290" s="36"/>
      <c r="AA1290" s="36"/>
      <c r="AB1290" s="36"/>
      <c r="AC1290" s="36"/>
      <c r="AD1290" s="36"/>
      <c r="AE1290" s="36"/>
      <c r="AF1290" s="36"/>
      <c r="AG1290" s="36"/>
      <c r="AH1290" s="36"/>
      <c r="AI1290" s="36"/>
      <c r="AJ1290" s="36"/>
      <c r="AK1290" s="36"/>
      <c r="AL1290" s="36"/>
    </row>
    <row r="1291" spans="1:38" s="33" customFormat="1">
      <c r="A1291" s="1150"/>
      <c r="E1291" s="34"/>
      <c r="G1291" s="35"/>
      <c r="H1291" s="510"/>
      <c r="I1291" s="510"/>
      <c r="J1291" s="510"/>
      <c r="K1291" s="510"/>
      <c r="L1291" s="510"/>
      <c r="M1291" s="35"/>
      <c r="N1291" s="35"/>
      <c r="O1291" s="35"/>
      <c r="P1291" s="35"/>
      <c r="Q1291" s="35"/>
      <c r="R1291" s="35"/>
      <c r="S1291" s="36"/>
      <c r="T1291" s="36"/>
      <c r="U1291" s="36"/>
      <c r="V1291" s="36"/>
      <c r="W1291" s="36"/>
      <c r="X1291" s="36"/>
      <c r="Y1291" s="36"/>
      <c r="Z1291" s="36"/>
      <c r="AA1291" s="36"/>
      <c r="AB1291" s="36"/>
      <c r="AC1291" s="36"/>
      <c r="AD1291" s="36"/>
      <c r="AE1291" s="36"/>
      <c r="AF1291" s="36"/>
      <c r="AG1291" s="36"/>
      <c r="AH1291" s="36"/>
      <c r="AI1291" s="36"/>
      <c r="AJ1291" s="36"/>
      <c r="AK1291" s="36"/>
      <c r="AL1291" s="36"/>
    </row>
    <row r="1292" spans="1:38" s="33" customFormat="1">
      <c r="A1292" s="1150"/>
      <c r="E1292" s="34"/>
      <c r="G1292" s="35"/>
      <c r="H1292" s="510"/>
      <c r="I1292" s="510"/>
      <c r="J1292" s="510"/>
      <c r="K1292" s="510"/>
      <c r="L1292" s="510"/>
      <c r="M1292" s="35"/>
      <c r="N1292" s="35"/>
      <c r="O1292" s="35"/>
      <c r="P1292" s="35"/>
      <c r="Q1292" s="35"/>
      <c r="R1292" s="35"/>
      <c r="S1292" s="36"/>
      <c r="T1292" s="36"/>
      <c r="U1292" s="36"/>
      <c r="V1292" s="36"/>
      <c r="W1292" s="36"/>
      <c r="X1292" s="36"/>
      <c r="Y1292" s="36"/>
      <c r="Z1292" s="36"/>
      <c r="AA1292" s="36"/>
      <c r="AB1292" s="36"/>
      <c r="AC1292" s="36"/>
      <c r="AD1292" s="36"/>
      <c r="AE1292" s="36"/>
      <c r="AF1292" s="36"/>
      <c r="AG1292" s="36"/>
      <c r="AH1292" s="36"/>
      <c r="AI1292" s="36"/>
      <c r="AJ1292" s="36"/>
      <c r="AK1292" s="36"/>
      <c r="AL1292" s="36"/>
    </row>
    <row r="1293" spans="1:38" s="33" customFormat="1">
      <c r="A1293" s="1150"/>
      <c r="E1293" s="34"/>
      <c r="G1293" s="35"/>
      <c r="H1293" s="510"/>
      <c r="I1293" s="510"/>
      <c r="J1293" s="510"/>
      <c r="K1293" s="510"/>
      <c r="L1293" s="510"/>
      <c r="M1293" s="35"/>
      <c r="N1293" s="35"/>
      <c r="O1293" s="35"/>
      <c r="P1293" s="35"/>
      <c r="Q1293" s="35"/>
      <c r="R1293" s="35"/>
      <c r="S1293" s="36"/>
      <c r="T1293" s="36"/>
      <c r="U1293" s="36"/>
      <c r="V1293" s="36"/>
      <c r="W1293" s="36"/>
      <c r="X1293" s="36"/>
      <c r="Y1293" s="36"/>
      <c r="Z1293" s="36"/>
      <c r="AA1293" s="36"/>
      <c r="AB1293" s="36"/>
      <c r="AC1293" s="36"/>
      <c r="AD1293" s="36"/>
      <c r="AE1293" s="36"/>
      <c r="AF1293" s="36"/>
      <c r="AG1293" s="36"/>
      <c r="AH1293" s="36"/>
      <c r="AI1293" s="36"/>
      <c r="AJ1293" s="36"/>
      <c r="AK1293" s="36"/>
      <c r="AL1293" s="36"/>
    </row>
    <row r="1294" spans="1:38" s="33" customFormat="1">
      <c r="A1294" s="1150"/>
      <c r="E1294" s="34"/>
      <c r="G1294" s="35"/>
      <c r="H1294" s="510"/>
      <c r="I1294" s="510"/>
      <c r="J1294" s="510"/>
      <c r="K1294" s="510"/>
      <c r="L1294" s="510"/>
      <c r="M1294" s="35"/>
      <c r="N1294" s="35"/>
      <c r="O1294" s="35"/>
      <c r="P1294" s="35"/>
      <c r="Q1294" s="35"/>
      <c r="R1294" s="35"/>
      <c r="S1294" s="36"/>
      <c r="T1294" s="36"/>
      <c r="U1294" s="36"/>
      <c r="V1294" s="36"/>
      <c r="W1294" s="36"/>
      <c r="X1294" s="36"/>
      <c r="Y1294" s="36"/>
      <c r="Z1294" s="36"/>
      <c r="AA1294" s="36"/>
      <c r="AB1294" s="36"/>
      <c r="AC1294" s="36"/>
      <c r="AD1294" s="36"/>
      <c r="AE1294" s="36"/>
      <c r="AF1294" s="36"/>
      <c r="AG1294" s="36"/>
      <c r="AH1294" s="36"/>
      <c r="AI1294" s="36"/>
      <c r="AJ1294" s="36"/>
      <c r="AK1294" s="36"/>
      <c r="AL1294" s="36"/>
    </row>
    <row r="1295" spans="1:38" s="33" customFormat="1">
      <c r="A1295" s="1150"/>
      <c r="E1295" s="34"/>
      <c r="G1295" s="35"/>
      <c r="H1295" s="510"/>
      <c r="I1295" s="510"/>
      <c r="J1295" s="510"/>
      <c r="K1295" s="510"/>
      <c r="L1295" s="510"/>
      <c r="M1295" s="35"/>
      <c r="N1295" s="35"/>
      <c r="O1295" s="35"/>
      <c r="P1295" s="35"/>
      <c r="Q1295" s="35"/>
      <c r="R1295" s="35"/>
      <c r="S1295" s="36"/>
      <c r="T1295" s="36"/>
      <c r="U1295" s="36"/>
      <c r="V1295" s="36"/>
      <c r="W1295" s="36"/>
      <c r="X1295" s="36"/>
      <c r="Y1295" s="36"/>
      <c r="Z1295" s="36"/>
      <c r="AA1295" s="36"/>
      <c r="AB1295" s="36"/>
      <c r="AC1295" s="36"/>
      <c r="AD1295" s="36"/>
      <c r="AE1295" s="36"/>
      <c r="AF1295" s="36"/>
      <c r="AG1295" s="36"/>
      <c r="AH1295" s="36"/>
      <c r="AI1295" s="36"/>
      <c r="AJ1295" s="36"/>
      <c r="AK1295" s="36"/>
      <c r="AL1295" s="36"/>
    </row>
    <row r="1296" spans="1:38" s="33" customFormat="1">
      <c r="A1296" s="1150"/>
      <c r="E1296" s="34"/>
      <c r="G1296" s="35"/>
      <c r="H1296" s="510"/>
      <c r="I1296" s="510"/>
      <c r="J1296" s="510"/>
      <c r="K1296" s="510"/>
      <c r="L1296" s="510"/>
      <c r="M1296" s="35"/>
      <c r="N1296" s="35"/>
      <c r="O1296" s="35"/>
      <c r="P1296" s="35"/>
      <c r="Q1296" s="35"/>
      <c r="R1296" s="35"/>
      <c r="S1296" s="36"/>
      <c r="T1296" s="36"/>
      <c r="U1296" s="36"/>
      <c r="V1296" s="36"/>
      <c r="W1296" s="36"/>
      <c r="X1296" s="36"/>
      <c r="Y1296" s="36"/>
      <c r="Z1296" s="36"/>
      <c r="AA1296" s="36"/>
      <c r="AB1296" s="36"/>
      <c r="AC1296" s="36"/>
      <c r="AD1296" s="36"/>
      <c r="AE1296" s="36"/>
      <c r="AF1296" s="36"/>
      <c r="AG1296" s="36"/>
      <c r="AH1296" s="36"/>
      <c r="AI1296" s="36"/>
      <c r="AJ1296" s="36"/>
      <c r="AK1296" s="36"/>
      <c r="AL1296" s="36"/>
    </row>
    <row r="1297" spans="1:38" s="33" customFormat="1">
      <c r="A1297" s="1150"/>
      <c r="E1297" s="34"/>
      <c r="G1297" s="35"/>
      <c r="H1297" s="510"/>
      <c r="I1297" s="510"/>
      <c r="J1297" s="510"/>
      <c r="K1297" s="510"/>
      <c r="L1297" s="510"/>
      <c r="M1297" s="35"/>
      <c r="N1297" s="35"/>
      <c r="O1297" s="35"/>
      <c r="P1297" s="35"/>
      <c r="Q1297" s="35"/>
      <c r="R1297" s="35"/>
      <c r="S1297" s="36"/>
      <c r="T1297" s="36"/>
      <c r="U1297" s="36"/>
      <c r="V1297" s="36"/>
      <c r="W1297" s="36"/>
      <c r="X1297" s="36"/>
      <c r="Y1297" s="36"/>
      <c r="Z1297" s="36"/>
      <c r="AA1297" s="36"/>
      <c r="AB1297" s="36"/>
      <c r="AC1297" s="36"/>
      <c r="AD1297" s="36"/>
      <c r="AE1297" s="36"/>
      <c r="AF1297" s="36"/>
      <c r="AG1297" s="36"/>
      <c r="AH1297" s="36"/>
      <c r="AI1297" s="36"/>
      <c r="AJ1297" s="36"/>
      <c r="AK1297" s="36"/>
      <c r="AL1297" s="36"/>
    </row>
    <row r="1298" spans="1:38" s="33" customFormat="1">
      <c r="A1298" s="1150"/>
      <c r="E1298" s="34"/>
      <c r="G1298" s="35"/>
      <c r="H1298" s="510"/>
      <c r="I1298" s="510"/>
      <c r="J1298" s="510"/>
      <c r="K1298" s="510"/>
      <c r="L1298" s="510"/>
      <c r="M1298" s="35"/>
      <c r="N1298" s="35"/>
      <c r="O1298" s="35"/>
      <c r="P1298" s="35"/>
      <c r="Q1298" s="35"/>
      <c r="R1298" s="35"/>
      <c r="S1298" s="36"/>
      <c r="T1298" s="36"/>
      <c r="U1298" s="36"/>
      <c r="V1298" s="36"/>
      <c r="W1298" s="36"/>
      <c r="X1298" s="36"/>
      <c r="Y1298" s="36"/>
      <c r="Z1298" s="36"/>
      <c r="AA1298" s="36"/>
      <c r="AB1298" s="36"/>
      <c r="AC1298" s="36"/>
      <c r="AD1298" s="36"/>
      <c r="AE1298" s="36"/>
      <c r="AF1298" s="36"/>
      <c r="AG1298" s="36"/>
      <c r="AH1298" s="36"/>
      <c r="AI1298" s="36"/>
      <c r="AJ1298" s="36"/>
      <c r="AK1298" s="36"/>
      <c r="AL1298" s="36"/>
    </row>
    <row r="1299" spans="1:38" s="33" customFormat="1">
      <c r="A1299" s="1150"/>
      <c r="E1299" s="34"/>
      <c r="G1299" s="35"/>
      <c r="H1299" s="510"/>
      <c r="I1299" s="510"/>
      <c r="J1299" s="510"/>
      <c r="K1299" s="510"/>
      <c r="L1299" s="510"/>
      <c r="M1299" s="35"/>
      <c r="N1299" s="35"/>
      <c r="O1299" s="35"/>
      <c r="P1299" s="35"/>
      <c r="Q1299" s="35"/>
      <c r="R1299" s="35"/>
      <c r="S1299" s="36"/>
      <c r="T1299" s="36"/>
      <c r="U1299" s="36"/>
      <c r="V1299" s="36"/>
      <c r="W1299" s="36"/>
      <c r="X1299" s="36"/>
      <c r="Y1299" s="36"/>
      <c r="Z1299" s="36"/>
      <c r="AA1299" s="36"/>
      <c r="AB1299" s="36"/>
      <c r="AC1299" s="36"/>
      <c r="AD1299" s="36"/>
      <c r="AE1299" s="36"/>
      <c r="AF1299" s="36"/>
      <c r="AG1299" s="36"/>
      <c r="AH1299" s="36"/>
      <c r="AI1299" s="36"/>
      <c r="AJ1299" s="36"/>
      <c r="AK1299" s="36"/>
      <c r="AL1299" s="36"/>
    </row>
    <row r="1300" spans="1:38" s="33" customFormat="1">
      <c r="A1300" s="1150"/>
      <c r="E1300" s="34"/>
      <c r="G1300" s="35"/>
      <c r="H1300" s="510"/>
      <c r="I1300" s="510"/>
      <c r="J1300" s="510"/>
      <c r="K1300" s="510"/>
      <c r="L1300" s="510"/>
      <c r="M1300" s="35"/>
      <c r="N1300" s="35"/>
      <c r="O1300" s="35"/>
      <c r="P1300" s="35"/>
      <c r="Q1300" s="35"/>
      <c r="R1300" s="35"/>
      <c r="S1300" s="36"/>
      <c r="T1300" s="36"/>
      <c r="U1300" s="36"/>
      <c r="V1300" s="36"/>
      <c r="W1300" s="36"/>
      <c r="X1300" s="36"/>
      <c r="Y1300" s="36"/>
      <c r="Z1300" s="36"/>
      <c r="AA1300" s="36"/>
      <c r="AB1300" s="36"/>
      <c r="AC1300" s="36"/>
      <c r="AD1300" s="36"/>
      <c r="AE1300" s="36"/>
      <c r="AF1300" s="36"/>
      <c r="AG1300" s="36"/>
      <c r="AH1300" s="36"/>
      <c r="AI1300" s="36"/>
      <c r="AJ1300" s="36"/>
      <c r="AK1300" s="36"/>
      <c r="AL1300" s="36"/>
    </row>
    <row r="1301" spans="1:38" s="33" customFormat="1">
      <c r="A1301" s="1150"/>
      <c r="E1301" s="34"/>
      <c r="G1301" s="35"/>
      <c r="H1301" s="510"/>
      <c r="I1301" s="510"/>
      <c r="J1301" s="510"/>
      <c r="K1301" s="510"/>
      <c r="L1301" s="510"/>
      <c r="M1301" s="35"/>
      <c r="N1301" s="35"/>
      <c r="O1301" s="35"/>
      <c r="P1301" s="35"/>
      <c r="Q1301" s="35"/>
      <c r="R1301" s="35"/>
      <c r="S1301" s="36"/>
      <c r="T1301" s="36"/>
      <c r="U1301" s="36"/>
      <c r="V1301" s="36"/>
      <c r="W1301" s="36"/>
      <c r="X1301" s="36"/>
      <c r="Y1301" s="36"/>
      <c r="Z1301" s="36"/>
      <c r="AA1301" s="36"/>
      <c r="AB1301" s="36"/>
      <c r="AC1301" s="36"/>
      <c r="AD1301" s="36"/>
      <c r="AE1301" s="36"/>
      <c r="AF1301" s="36"/>
      <c r="AG1301" s="36"/>
      <c r="AH1301" s="36"/>
      <c r="AI1301" s="36"/>
      <c r="AJ1301" s="36"/>
      <c r="AK1301" s="36"/>
      <c r="AL1301" s="36"/>
    </row>
    <row r="1302" spans="1:38" s="33" customFormat="1">
      <c r="A1302" s="1150"/>
      <c r="E1302" s="34"/>
      <c r="G1302" s="35"/>
      <c r="H1302" s="510"/>
      <c r="I1302" s="510"/>
      <c r="J1302" s="510"/>
      <c r="K1302" s="510"/>
      <c r="L1302" s="510"/>
      <c r="M1302" s="35"/>
      <c r="N1302" s="35"/>
      <c r="O1302" s="35"/>
      <c r="P1302" s="35"/>
      <c r="Q1302" s="35"/>
      <c r="R1302" s="35"/>
      <c r="S1302" s="36"/>
      <c r="T1302" s="36"/>
      <c r="U1302" s="36"/>
      <c r="V1302" s="36"/>
      <c r="W1302" s="36"/>
      <c r="X1302" s="36"/>
      <c r="Y1302" s="36"/>
      <c r="Z1302" s="36"/>
      <c r="AA1302" s="36"/>
      <c r="AB1302" s="36"/>
      <c r="AC1302" s="36"/>
      <c r="AD1302" s="36"/>
      <c r="AE1302" s="36"/>
      <c r="AF1302" s="36"/>
      <c r="AG1302" s="36"/>
      <c r="AH1302" s="36"/>
      <c r="AI1302" s="36"/>
      <c r="AJ1302" s="36"/>
      <c r="AK1302" s="36"/>
      <c r="AL1302" s="36"/>
    </row>
    <row r="1303" spans="1:38" s="33" customFormat="1">
      <c r="A1303" s="1150"/>
      <c r="E1303" s="34"/>
      <c r="G1303" s="35"/>
      <c r="H1303" s="510"/>
      <c r="I1303" s="510"/>
      <c r="J1303" s="510"/>
      <c r="K1303" s="510"/>
      <c r="L1303" s="510"/>
      <c r="M1303" s="35"/>
      <c r="N1303" s="35"/>
      <c r="O1303" s="35"/>
      <c r="P1303" s="35"/>
      <c r="Q1303" s="35"/>
      <c r="R1303" s="35"/>
      <c r="S1303" s="36"/>
      <c r="T1303" s="36"/>
      <c r="U1303" s="36"/>
      <c r="V1303" s="36"/>
      <c r="W1303" s="36"/>
      <c r="X1303" s="36"/>
      <c r="Y1303" s="36"/>
      <c r="Z1303" s="36"/>
      <c r="AA1303" s="36"/>
      <c r="AB1303" s="36"/>
      <c r="AC1303" s="36"/>
      <c r="AD1303" s="36"/>
      <c r="AE1303" s="36"/>
      <c r="AF1303" s="36"/>
      <c r="AG1303" s="36"/>
      <c r="AH1303" s="36"/>
      <c r="AI1303" s="36"/>
      <c r="AJ1303" s="36"/>
      <c r="AK1303" s="36"/>
      <c r="AL1303" s="36"/>
    </row>
    <row r="1304" spans="1:38" s="33" customFormat="1">
      <c r="A1304" s="1150"/>
      <c r="E1304" s="34"/>
      <c r="G1304" s="35"/>
      <c r="H1304" s="510"/>
      <c r="I1304" s="510"/>
      <c r="J1304" s="510"/>
      <c r="K1304" s="510"/>
      <c r="L1304" s="510"/>
      <c r="M1304" s="35"/>
      <c r="N1304" s="35"/>
      <c r="O1304" s="35"/>
      <c r="P1304" s="35"/>
      <c r="Q1304" s="35"/>
      <c r="R1304" s="35"/>
      <c r="S1304" s="36"/>
      <c r="T1304" s="36"/>
      <c r="U1304" s="36"/>
      <c r="V1304" s="36"/>
      <c r="W1304" s="36"/>
      <c r="X1304" s="36"/>
      <c r="Y1304" s="36"/>
      <c r="Z1304" s="36"/>
      <c r="AA1304" s="36"/>
      <c r="AB1304" s="36"/>
      <c r="AC1304" s="36"/>
      <c r="AD1304" s="36"/>
      <c r="AE1304" s="36"/>
      <c r="AF1304" s="36"/>
      <c r="AG1304" s="36"/>
      <c r="AH1304" s="36"/>
      <c r="AI1304" s="36"/>
      <c r="AJ1304" s="36"/>
      <c r="AK1304" s="36"/>
      <c r="AL1304" s="36"/>
    </row>
    <row r="1305" spans="1:38" s="33" customFormat="1">
      <c r="A1305" s="1150"/>
      <c r="E1305" s="34"/>
      <c r="G1305" s="35"/>
      <c r="H1305" s="510"/>
      <c r="I1305" s="511"/>
      <c r="J1305" s="511"/>
      <c r="K1305" s="511"/>
      <c r="L1305" s="510"/>
      <c r="M1305" s="35"/>
      <c r="N1305" s="35"/>
      <c r="O1305" s="35"/>
      <c r="P1305" s="35"/>
      <c r="Q1305" s="35"/>
      <c r="R1305" s="35"/>
      <c r="S1305" s="36"/>
      <c r="T1305" s="36"/>
      <c r="U1305" s="36"/>
      <c r="V1305" s="36"/>
      <c r="W1305" s="36"/>
      <c r="X1305" s="36"/>
      <c r="Y1305" s="36"/>
      <c r="Z1305" s="36"/>
      <c r="AA1305" s="36"/>
      <c r="AB1305" s="36"/>
      <c r="AC1305" s="36"/>
      <c r="AD1305" s="36"/>
      <c r="AE1305" s="36"/>
      <c r="AF1305" s="36"/>
      <c r="AG1305" s="36"/>
      <c r="AH1305" s="36"/>
      <c r="AI1305" s="36"/>
      <c r="AJ1305" s="36"/>
      <c r="AK1305" s="36"/>
      <c r="AL1305" s="36"/>
    </row>
    <row r="1306" spans="1:38" s="33" customFormat="1">
      <c r="A1306" s="1150"/>
      <c r="E1306" s="34"/>
      <c r="G1306" s="35"/>
      <c r="H1306" s="510"/>
      <c r="I1306" s="511"/>
      <c r="J1306" s="511"/>
      <c r="K1306" s="511"/>
      <c r="L1306" s="510"/>
      <c r="M1306" s="35"/>
      <c r="N1306" s="35"/>
      <c r="O1306" s="35"/>
      <c r="P1306" s="35"/>
      <c r="Q1306" s="35"/>
      <c r="R1306" s="35"/>
      <c r="S1306" s="36"/>
      <c r="T1306" s="36"/>
      <c r="U1306" s="36"/>
      <c r="V1306" s="36"/>
      <c r="W1306" s="36"/>
      <c r="X1306" s="36"/>
      <c r="Y1306" s="36"/>
      <c r="Z1306" s="36"/>
      <c r="AA1306" s="36"/>
      <c r="AB1306" s="36"/>
      <c r="AC1306" s="36"/>
      <c r="AD1306" s="36"/>
      <c r="AE1306" s="36"/>
      <c r="AF1306" s="36"/>
      <c r="AG1306" s="36"/>
      <c r="AH1306" s="36"/>
      <c r="AI1306" s="36"/>
      <c r="AJ1306" s="36"/>
      <c r="AK1306" s="36"/>
      <c r="AL1306" s="36"/>
    </row>
    <row r="1307" spans="1:38" s="33" customFormat="1">
      <c r="A1307" s="1150"/>
      <c r="E1307" s="34"/>
      <c r="G1307" s="35"/>
      <c r="H1307" s="510"/>
      <c r="I1307" s="511"/>
      <c r="J1307" s="511"/>
      <c r="K1307" s="511"/>
      <c r="L1307" s="510"/>
      <c r="M1307" s="35"/>
      <c r="N1307" s="35"/>
      <c r="O1307" s="35"/>
      <c r="P1307" s="35"/>
      <c r="Q1307" s="35"/>
      <c r="R1307" s="35"/>
      <c r="S1307" s="36"/>
      <c r="T1307" s="36"/>
      <c r="U1307" s="36"/>
      <c r="V1307" s="36"/>
      <c r="W1307" s="36"/>
      <c r="X1307" s="36"/>
      <c r="Y1307" s="36"/>
      <c r="Z1307" s="36"/>
      <c r="AA1307" s="36"/>
      <c r="AB1307" s="36"/>
      <c r="AC1307" s="36"/>
      <c r="AD1307" s="36"/>
      <c r="AE1307" s="36"/>
      <c r="AF1307" s="36"/>
      <c r="AG1307" s="36"/>
      <c r="AH1307" s="36"/>
      <c r="AI1307" s="36"/>
      <c r="AJ1307" s="36"/>
      <c r="AK1307" s="36"/>
      <c r="AL1307" s="36"/>
    </row>
    <row r="1308" spans="1:38" s="33" customFormat="1">
      <c r="A1308" s="1150"/>
      <c r="E1308" s="34"/>
      <c r="G1308" s="35"/>
      <c r="H1308" s="510"/>
      <c r="I1308" s="511"/>
      <c r="J1308" s="511"/>
      <c r="K1308" s="511"/>
      <c r="L1308" s="510"/>
      <c r="M1308" s="35"/>
      <c r="N1308" s="35"/>
      <c r="O1308" s="35"/>
      <c r="P1308" s="35"/>
      <c r="Q1308" s="35"/>
      <c r="R1308" s="35"/>
      <c r="S1308" s="36"/>
      <c r="T1308" s="36"/>
      <c r="U1308" s="36"/>
      <c r="V1308" s="36"/>
      <c r="W1308" s="36"/>
      <c r="X1308" s="36"/>
      <c r="Y1308" s="36"/>
      <c r="Z1308" s="36"/>
      <c r="AA1308" s="36"/>
      <c r="AB1308" s="36"/>
      <c r="AC1308" s="36"/>
      <c r="AD1308" s="36"/>
      <c r="AE1308" s="36"/>
      <c r="AF1308" s="36"/>
      <c r="AG1308" s="36"/>
      <c r="AH1308" s="36"/>
      <c r="AI1308" s="36"/>
      <c r="AJ1308" s="36"/>
      <c r="AK1308" s="36"/>
      <c r="AL1308" s="36"/>
    </row>
    <row r="1309" spans="1:38" s="33" customFormat="1">
      <c r="A1309" s="1150"/>
      <c r="E1309" s="34"/>
      <c r="G1309" s="35"/>
      <c r="H1309" s="510"/>
      <c r="I1309" s="511"/>
      <c r="J1309" s="511"/>
      <c r="K1309" s="511"/>
      <c r="L1309" s="510"/>
      <c r="M1309" s="35"/>
      <c r="N1309" s="35"/>
      <c r="O1309" s="35"/>
      <c r="P1309" s="35"/>
      <c r="Q1309" s="35"/>
      <c r="R1309" s="35"/>
      <c r="S1309" s="36"/>
      <c r="T1309" s="36"/>
      <c r="U1309" s="36"/>
      <c r="V1309" s="36"/>
      <c r="W1309" s="36"/>
      <c r="X1309" s="36"/>
      <c r="Y1309" s="36"/>
      <c r="Z1309" s="36"/>
      <c r="AA1309" s="36"/>
      <c r="AB1309" s="36"/>
      <c r="AC1309" s="36"/>
      <c r="AD1309" s="36"/>
      <c r="AE1309" s="36"/>
      <c r="AF1309" s="36"/>
      <c r="AG1309" s="36"/>
      <c r="AH1309" s="36"/>
      <c r="AI1309" s="36"/>
      <c r="AJ1309" s="36"/>
      <c r="AK1309" s="36"/>
      <c r="AL1309" s="36"/>
    </row>
    <row r="1310" spans="1:38" s="33" customFormat="1">
      <c r="A1310" s="1150"/>
      <c r="E1310" s="34"/>
      <c r="G1310" s="35"/>
      <c r="H1310" s="510"/>
      <c r="I1310" s="511"/>
      <c r="J1310" s="511"/>
      <c r="K1310" s="511"/>
      <c r="L1310" s="510"/>
      <c r="M1310" s="35"/>
      <c r="N1310" s="35"/>
      <c r="O1310" s="35"/>
      <c r="P1310" s="35"/>
      <c r="Q1310" s="35"/>
      <c r="R1310" s="35"/>
      <c r="S1310" s="36"/>
      <c r="T1310" s="36"/>
      <c r="U1310" s="36"/>
      <c r="V1310" s="36"/>
      <c r="W1310" s="36"/>
      <c r="X1310" s="36"/>
      <c r="Y1310" s="36"/>
      <c r="Z1310" s="36"/>
      <c r="AA1310" s="36"/>
      <c r="AB1310" s="36"/>
      <c r="AC1310" s="36"/>
      <c r="AD1310" s="36"/>
      <c r="AE1310" s="36"/>
      <c r="AF1310" s="36"/>
      <c r="AG1310" s="36"/>
      <c r="AH1310" s="36"/>
      <c r="AI1310" s="36"/>
      <c r="AJ1310" s="36"/>
      <c r="AK1310" s="36"/>
      <c r="AL1310" s="36"/>
    </row>
    <row r="1311" spans="1:38" s="33" customFormat="1">
      <c r="A1311" s="1150"/>
      <c r="E1311" s="34"/>
      <c r="G1311" s="35"/>
      <c r="H1311" s="510"/>
      <c r="I1311" s="511"/>
      <c r="J1311" s="511"/>
      <c r="K1311" s="511"/>
      <c r="L1311" s="510"/>
      <c r="M1311" s="35"/>
      <c r="N1311" s="35"/>
      <c r="O1311" s="35"/>
      <c r="P1311" s="35"/>
      <c r="Q1311" s="35"/>
      <c r="R1311" s="35"/>
      <c r="S1311" s="36"/>
      <c r="T1311" s="36"/>
      <c r="U1311" s="36"/>
      <c r="V1311" s="36"/>
      <c r="W1311" s="36"/>
      <c r="X1311" s="36"/>
      <c r="Y1311" s="36"/>
      <c r="Z1311" s="36"/>
      <c r="AA1311" s="36"/>
      <c r="AB1311" s="36"/>
      <c r="AC1311" s="36"/>
      <c r="AD1311" s="36"/>
      <c r="AE1311" s="36"/>
      <c r="AF1311" s="36"/>
      <c r="AG1311" s="36"/>
      <c r="AH1311" s="36"/>
      <c r="AI1311" s="36"/>
      <c r="AJ1311" s="36"/>
      <c r="AK1311" s="36"/>
      <c r="AL1311" s="36"/>
    </row>
    <row r="1312" spans="1:38" s="33" customFormat="1">
      <c r="A1312" s="1150"/>
      <c r="E1312" s="34"/>
      <c r="G1312" s="35"/>
      <c r="H1312" s="510"/>
      <c r="I1312" s="511"/>
      <c r="J1312" s="511"/>
      <c r="K1312" s="511"/>
      <c r="L1312" s="510"/>
      <c r="M1312" s="35"/>
      <c r="N1312" s="35"/>
      <c r="O1312" s="35"/>
      <c r="P1312" s="35"/>
      <c r="Q1312" s="35"/>
      <c r="R1312" s="35"/>
      <c r="S1312" s="36"/>
      <c r="T1312" s="36"/>
      <c r="U1312" s="36"/>
      <c r="V1312" s="36"/>
      <c r="W1312" s="36"/>
      <c r="X1312" s="36"/>
      <c r="Y1312" s="36"/>
      <c r="Z1312" s="36"/>
      <c r="AA1312" s="36"/>
      <c r="AB1312" s="36"/>
      <c r="AC1312" s="36"/>
      <c r="AD1312" s="36"/>
      <c r="AE1312" s="36"/>
      <c r="AF1312" s="36"/>
      <c r="AG1312" s="36"/>
      <c r="AH1312" s="36"/>
      <c r="AI1312" s="36"/>
      <c r="AJ1312" s="36"/>
      <c r="AK1312" s="36"/>
      <c r="AL1312" s="36"/>
    </row>
    <row r="1313" spans="1:38" s="33" customFormat="1">
      <c r="A1313" s="1150"/>
      <c r="E1313" s="34"/>
      <c r="G1313" s="35"/>
      <c r="H1313" s="510"/>
      <c r="I1313" s="511"/>
      <c r="J1313" s="511"/>
      <c r="K1313" s="511"/>
      <c r="L1313" s="510"/>
      <c r="M1313" s="35"/>
      <c r="N1313" s="35"/>
      <c r="O1313" s="35"/>
      <c r="P1313" s="35"/>
      <c r="Q1313" s="35"/>
      <c r="R1313" s="35"/>
      <c r="S1313" s="36"/>
      <c r="T1313" s="36"/>
      <c r="U1313" s="36"/>
      <c r="V1313" s="36"/>
      <c r="W1313" s="36"/>
      <c r="X1313" s="36"/>
      <c r="Y1313" s="36"/>
      <c r="Z1313" s="36"/>
      <c r="AA1313" s="36"/>
      <c r="AB1313" s="36"/>
      <c r="AC1313" s="36"/>
      <c r="AD1313" s="36"/>
      <c r="AE1313" s="36"/>
      <c r="AF1313" s="36"/>
      <c r="AG1313" s="36"/>
      <c r="AH1313" s="36"/>
      <c r="AI1313" s="36"/>
      <c r="AJ1313" s="36"/>
      <c r="AK1313" s="36"/>
      <c r="AL1313" s="36"/>
    </row>
    <row r="1314" spans="1:38" s="33" customFormat="1">
      <c r="A1314" s="1150"/>
      <c r="E1314" s="34"/>
      <c r="G1314" s="35"/>
      <c r="H1314" s="510"/>
      <c r="I1314" s="511"/>
      <c r="J1314" s="511"/>
      <c r="K1314" s="511"/>
      <c r="L1314" s="510"/>
      <c r="M1314" s="35"/>
      <c r="N1314" s="35"/>
      <c r="O1314" s="35"/>
      <c r="P1314" s="35"/>
      <c r="Q1314" s="35"/>
      <c r="R1314" s="35"/>
      <c r="S1314" s="36"/>
      <c r="T1314" s="36"/>
      <c r="U1314" s="36"/>
      <c r="V1314" s="36"/>
      <c r="W1314" s="36"/>
      <c r="X1314" s="36"/>
      <c r="Y1314" s="36"/>
      <c r="Z1314" s="36"/>
      <c r="AA1314" s="36"/>
      <c r="AB1314" s="36"/>
      <c r="AC1314" s="36"/>
      <c r="AD1314" s="36"/>
      <c r="AE1314" s="36"/>
      <c r="AF1314" s="36"/>
      <c r="AG1314" s="36"/>
      <c r="AH1314" s="36"/>
      <c r="AI1314" s="36"/>
      <c r="AJ1314" s="36"/>
      <c r="AK1314" s="36"/>
      <c r="AL1314" s="36"/>
    </row>
    <row r="1315" spans="1:38">
      <c r="L1315" s="510"/>
    </row>
    <row r="1316" spans="1:38">
      <c r="L1316" s="510"/>
    </row>
    <row r="1317" spans="1:38">
      <c r="L1317" s="510"/>
    </row>
  </sheetData>
  <sheetProtection password="CC59" sheet="1" objects="1" scenarios="1" autoFilter="0" pivotTables="0"/>
  <autoFilter ref="A1:AL1276"/>
  <conditionalFormatting sqref="E758:E837">
    <cfRule type="duplicateValues" dxfId="37" priority="65"/>
  </conditionalFormatting>
  <conditionalFormatting sqref="E760:E837">
    <cfRule type="duplicateValues" dxfId="36" priority="64"/>
  </conditionalFormatting>
  <conditionalFormatting sqref="E1275:E1277 E1191:E1263 E3:E55 E189:E359 E57:E187 E1279:E1048576 E361:E463 E465:E602 E604:E1186">
    <cfRule type="duplicateValues" dxfId="35" priority="62"/>
  </conditionalFormatting>
  <conditionalFormatting sqref="E360">
    <cfRule type="duplicateValues" dxfId="34" priority="61"/>
  </conditionalFormatting>
  <conditionalFormatting sqref="E188">
    <cfRule type="duplicateValues" dxfId="33" priority="60"/>
  </conditionalFormatting>
  <conditionalFormatting sqref="E1275 E1191:E1263 E1169:E1186 E1095:E1145 E1038 E993 E953 E618 E582 E504 E358 E317:E318 E3:E55 E57:E187 E379:E430 E189:E239 E654:E919">
    <cfRule type="duplicateValues" dxfId="32" priority="59"/>
  </conditionalFormatting>
  <conditionalFormatting sqref="E603">
    <cfRule type="duplicateValues" dxfId="31" priority="58"/>
  </conditionalFormatting>
  <conditionalFormatting sqref="E1187:E1190">
    <cfRule type="duplicateValues" dxfId="30" priority="57"/>
  </conditionalFormatting>
  <conditionalFormatting sqref="E56">
    <cfRule type="duplicateValues" dxfId="29" priority="56"/>
  </conditionalFormatting>
  <conditionalFormatting sqref="E3:E55 E57:E143">
    <cfRule type="duplicateValues" dxfId="28" priority="66"/>
  </conditionalFormatting>
  <conditionalFormatting sqref="E1264:E1274">
    <cfRule type="duplicateValues" dxfId="27" priority="98"/>
  </conditionalFormatting>
  <conditionalFormatting sqref="E464">
    <cfRule type="duplicateValues" dxfId="26" priority="34"/>
  </conditionalFormatting>
  <conditionalFormatting sqref="E208">
    <cfRule type="duplicateValues" dxfId="25" priority="32"/>
  </conditionalFormatting>
  <conditionalFormatting sqref="I360">
    <cfRule type="duplicateValues" dxfId="24" priority="26"/>
  </conditionalFormatting>
  <conditionalFormatting sqref="I188">
    <cfRule type="duplicateValues" dxfId="23" priority="25"/>
  </conditionalFormatting>
  <conditionalFormatting sqref="I603">
    <cfRule type="duplicateValues" dxfId="22" priority="23"/>
  </conditionalFormatting>
  <conditionalFormatting sqref="I1187:I1190">
    <cfRule type="duplicateValues" dxfId="21" priority="22"/>
  </conditionalFormatting>
  <conditionalFormatting sqref="I58">
    <cfRule type="duplicateValues" dxfId="20" priority="21"/>
  </conditionalFormatting>
  <conditionalFormatting sqref="I1264">
    <cfRule type="duplicateValues" dxfId="19" priority="20"/>
  </conditionalFormatting>
  <conditionalFormatting sqref="I24">
    <cfRule type="duplicateValues" dxfId="18" priority="19"/>
  </conditionalFormatting>
  <conditionalFormatting sqref="I1101">
    <cfRule type="duplicateValues" dxfId="17" priority="18"/>
  </conditionalFormatting>
  <conditionalFormatting sqref="I545">
    <cfRule type="duplicateValues" dxfId="16" priority="17"/>
  </conditionalFormatting>
  <conditionalFormatting sqref="I240:I290">
    <cfRule type="duplicateValues" dxfId="15" priority="16"/>
  </conditionalFormatting>
  <conditionalFormatting sqref="I239:I290">
    <cfRule type="duplicateValues" dxfId="14" priority="15"/>
  </conditionalFormatting>
  <conditionalFormatting sqref="I239">
    <cfRule type="duplicateValues" dxfId="13" priority="14"/>
  </conditionalFormatting>
  <conditionalFormatting sqref="I271:I273">
    <cfRule type="duplicateValues" dxfId="12" priority="13"/>
  </conditionalFormatting>
  <conditionalFormatting sqref="I274 I276:I277">
    <cfRule type="duplicateValues" dxfId="11" priority="12"/>
  </conditionalFormatting>
  <conditionalFormatting sqref="I2:I23 I25:I57 I59:I143">
    <cfRule type="duplicateValues" dxfId="10" priority="2198"/>
  </conditionalFormatting>
  <conditionalFormatting sqref="I1263 I1191:I1250 I1169:I1186 I1102:I1145 I582 I317:I318 I358 I145:I187 I504 I618 I953 I993 I1038 I379:I430 I758 I3:I23 I25:I57 I654:I756 I59:I143 I189:I239 I1095:I1100 I760:I919">
    <cfRule type="duplicateValues" dxfId="9" priority="2337"/>
  </conditionalFormatting>
  <conditionalFormatting sqref="I1263 I1191:I1250 I465:I602 I25:I57 I1102:I1186 I145:I187 I604:I756 I59:I143 I361:I430 I432:I463 I189:I359 I758 I2:I23 I760:I1100">
    <cfRule type="duplicateValues" dxfId="8" priority="2358"/>
  </conditionalFormatting>
  <conditionalFormatting sqref="E539:E541">
    <cfRule type="duplicateValues" dxfId="7" priority="2438"/>
  </conditionalFormatting>
  <conditionalFormatting sqref="E558">
    <cfRule type="duplicateValues" dxfId="6" priority="10"/>
  </conditionalFormatting>
  <conditionalFormatting sqref="I760:I837">
    <cfRule type="duplicateValues" dxfId="5" priority="2489"/>
  </conditionalFormatting>
  <conditionalFormatting sqref="I758 I760:I837">
    <cfRule type="duplicateValues" dxfId="4" priority="2525"/>
  </conditionalFormatting>
  <conditionalFormatting sqref="I757">
    <cfRule type="duplicateValues" dxfId="3" priority="4"/>
  </conditionalFormatting>
  <conditionalFormatting sqref="I757">
    <cfRule type="duplicateValues" dxfId="2" priority="3"/>
  </conditionalFormatting>
  <conditionalFormatting sqref="I759">
    <cfRule type="duplicateValues" dxfId="1" priority="1"/>
  </conditionalFormatting>
  <conditionalFormatting sqref="I759">
    <cfRule type="duplicateValues" dxfId="0" priority="2"/>
  </conditionalFormatting>
  <hyperlinks>
    <hyperlink ref="B1276" location="'Hoja índice'!A1" display="Indice"/>
    <hyperlink ref="A1" location="'Hoja índice'!A1" display="Indice"/>
  </hyperlinks>
  <pageMargins left="0.19685039370078741" right="0.19685039370078741" top="0.19685039370078741" bottom="0.19685039370078741" header="0.31496062992125984" footer="0.31496062992125984"/>
  <pageSetup paperSize="121" scale="54" orientation="landscape" r:id="rId1"/>
  <colBreaks count="1" manualBreakCount="1">
    <brk id="21" max="760" man="1"/>
  </colBreaks>
  <ignoredErrors>
    <ignoredError sqref="F239:F291 F317:F344 F358:F371 F379:F412 F430:F453 F464:F494 F604:F606 F619:F639 F655:F666 F679:F709 F725:F739 F760:F822 F838:F856 F871:F883 F897:F906 F919:F941 F953:F979 F993:F1018 F1039:F1080 F1100:F1102 F1120:F1129 F1146:F1156 F1170:F1171 F1186:F1193 F1205:F1206 F512:F520 F529:F531 F535:F537 F546:F547 F556 F565 F582:F584 F588:F589 F1096 F758" formulaRange="1"/>
    <ignoredError sqref="Z1120:AA1129 Z318:AA344 Z655:AA666 Z359:AA371 Z380:AA412 Z431:AA453 Z465:AA494 Z564:AA565 Z680:AA709 Z726:AA739 Z760:AA822 Z839:AA856 Z872:AA883 Z898:AA906 Z920:AA941 Z954:AA979 Z994:AA1018 Z1039:AA1080 Z1099:AA1101 Z104:AA122 Z603:AA606 Z145:AA167 Z209:AA218 Z239:AA269 Z619:AA638 Z1146:AA1156 Z1170:AA1171 Z1186:AA1193 Z1205:AA1206 Z1219:AA1222 Z1234:AA1234 Z1249:AA1249 Z1264:AA1264 Z186:AA202 Z204:AA207 Z505:AA505 Z508:AA509 Z511:AA521 Z523:AA524 Z526:AA526 Z528:AA532 Z534:AA538 Z542:AA543 Z545:AA548 Z551:AA551 Z555:AA557 Z559:AA560 Z562:AA562 Z583:AA585 Z588:AA590 Z592:AA592 Z594:AA595 Z597:AA598 Z1096:AA1097 Z1247:AA1247 H760:H837 M760:M1263 H12:H102 H758 M103:M758 H104:H143 H145:H184 H186:H237 H239:H316 H318:H357 H359:H378 H380:H429 H431:H463 H465:H503 H505:H581 H583:H617 H619:H653 H655:H678 H680:H724 H726:H756 H759:J759 H839:H870 H872:H896 H898:H918 H920:H952 H954:H992 H994:H1037 H1039:H1094 H1096:H1118 H1120:H1144 H1146:H1168 H1170:H1184 H1186:H1203 H1205:H1217 H1219:H1232 H1234:H1245 H1247:H1262 AD1264:AK1264 W3:W102 W104:W143 W145:W184 W1234:W1245 W1247:W1262 Z758:AA758 AC1264 M759 X758 X145:X166 X104:X121 X103 X122:X144 X167:X757 X759:X1275 AB758:AC758 AB1234:AC1245 AB1205:AC1217 AB1170:AC1184 AB145:AC184 AB994:AC1037 AB920:AC952 AB872:AC896 AB760:AC837 AB680:AC724 AB465:AC503 AB380:AC429 AB318:AC357 AB1247:AC1262 AB1219:AC1232 AB1186:AC1203 AB1146:AC1168 AB186:AC237 AB583:AC617 AB1039:AC1094 AB954:AC992 AB898:AC918 AB839:AC870 AB726:AC756 AB431:AC463 AB359:AC378 AB655:AC678 AB1120:AC1144 AB619:AC653 AB239:AC316 AB1096:AC1118 AB505:AC581 AB104:AC143 AD204:AK207 AD145:AK167 AD758:AK758 AD1247:AK1247 AD1096:AK1097 AD597:AK598 AD594:AK595 AD592:AK592 AD588:AK590 AD583:AK585 AD562:AK562 AD559:AK560 AD555:AK557 AD551:AK551 AD545:AK548 AD542:AK543 AD534:AK538 AD528:AK532 AD526:AK526 AD523:AK524 AD511:AK521 AD508:AK509 AD505:AK505 AD186:AK202 AD1234:AK1234 AD1205:AK1206 AD1170:AK1171 AD104:AK122 AD994:AK1018 AD920:AK941 AD872:AK883 AD760:AK822 AD680:AK709 AD465:AK494 AD380:AK412 AD318:AK344 AD1249:AK1249 AD1219:AK1222 AD1186:AK1193 AD1146:AK1156 AD209:AK218 AD603:AK606 AD1039:AK1080 AD954:AK979 AD898:AK906 AD839:AK856 AD726:AK739 AD431:AK453 AD359:AK371 AD655:AK666 AD1120:AK1129 AE1095 AE993 AE919 AE871 AE757 AE679 AD619:AK638 AD239:AK269 AE1246 AE1218 AE1185 AE1145 AD1099:AK1101 AE582 AE1038 AE953 AE897 AE838 AE725 AE654 AE504 AE1263 AE1233 AE1204 AE1169 AE1119 AE618 AD564:AK565 AE464 AE430 AE379 AE358 AE317 AE238 AE185 AE144 AE103 AD123:AL143 AB103:AD103 AF103:AL103 AD168:AL184 AB144:AD144 AF144:AL144 AD203:AL203 AB185:AD185 AF185:AL185 AD270:AL316 AB238:AD238 AF238:AL238 AD345:AL357 AB317:AD317 AF317:AL317 AD372:AL378 AB358:AD358 AF358:AL358 AD413:AL429 AB379:AD379 AF379:AL379 AD454:AL463 AB430:AD430 AF430:AL430 AD495:AL503 AB464:AD464 AF464:AL464 AD566:AL581 AL564:AL565 AD639:AL653 AB618:AD618 AF618:AL618 AD1130:AL1144 AB1119:AD1119 AF1119:AL1119 AD1172:AL1184 AB1169:AD1169 AF1169:AL1169 AD1207:AL1217 AB1204:AD1204 AF1204:AL1204 AD1235:AL1245 AB1233:AD1233 AF1233:AL1233 AB1263:AD1263 AF1263:AL1263 AD506:AL507 AB504:AD504 AF504:AL504 AD667:AL678 AB654:AD654 AF654:AL654 AD740:AL756 AB725:AD725 AF725:AL725 AD857:AL870 AB838:AD838 AF838:AL838 AD907:AL918 AB897:AD897 AF897:AL897 AD980:AL992 AB953:AD953 AF953:AL953 AD1081:AL1094 AB1038:AD1038 AF1038:AL1038 AD586:AL587 AB582:AD582 AF582:AL582 AD1102:AL1118 AL1099:AL1101 AD1157:AL1168 AB1145:AD1145 AF1145:AL1145 AD1194:AL1203 AB1185:AD1185 AF1185:AL1185 AD1223:AL1232 AB1218:AD1218 AF1218:AL1218 AD1248:AL1248 AB1246:AD1246 AF1246:AL1246 AL239:AL269 AL619:AL638 AD710:AL724 AB679:AD679 AF679:AL679 AB759:AL759 AB757:AD757 AF757:AL757 AD884:AL896 AB871:AD871 AF871:AL871 AD942:AL952 AB919:AD919 AF919:AL919 AD1019:AL1037 AB993:AD993 AF993:AL993 AD1098:AL1098 AB1095:AD1095 AF1095:AL1095 AL1120:AL1129 AL655:AL666 AL359:AL371 AL431:AL453 AL726:AL739 AL839:AL856 AL898:AL906 AL954:AL979 AL1039:AL1080 AD607:AL617 AL603:AL606 AD219:AL237 AL209:AL218 AL1146:AL1156 AL1186:AL1193 AL1219:AL1222 AD1250:AL1262 AL1249 AL318:AL344 AL380:AL412 AL465:AL494 AL680:AL709 AD823:AL837 AL760:AL822 AL872:AL883 AL920:AL941 AL994:AL1018 AL104:AL122 AL1170:AL1171 AL1205:AL1206 AL1234 AL186:AL202 AL505 AD510:AL510 AL508:AL509 AD522:AL522 AL511:AL521 AD525:AL525 AL523:AL524 AD527:AL527 AL526 AD533:AL533 AL528:AL532 AD539:AL541 AL534:AL538 AD544:AL544 AL542:AL543 AD549:AL550 AL545:AL548 AD552:AL554 AL551 AD558:AL558 AL555:AL557 AD561:AL561 AL559:AL560 AD563:AL563 AL562 AL583:AL585 AD591:AL591 AL588:AL590 AD593:AL593 AL592 AD596:AL596 AL594:AL595 AD599:AL602 AL597:AL598 AL1096:AL1097 AL1247 AL758 AL145:AL167 AD208:AL208 AL204:AL207 R103:R1263 W1219:W1232 W1205:W1217 W1186:W1203 W1170:W1184 W1146:W1168 W1120:W1144 W1096:W1118 W1039:W1094 W994:W1037 W954:W992 W920:W952 W898:W918 W872:W896 W839:W870 W760:W837 W758 W726:W756 W680:W724 W655:W678 W619:W653 W583:W617 W505:W581 W465:W503 W431:W463 W380:W429 W359:W378 W318:W357 W239:W316 W186:W237 W185 W238 W317 W358 W379 W430 W464 W504 W582 W618 W654 W679 W725 W757 W759 W838 W871 W897 W919 W953 W993 W1038 W1095 W1119 W1145 W1169 W1185 W1204 W1218 W1233" formula="1"/>
  </ignoredErrors>
  <legacyDrawing r:id="rId2"/>
</worksheet>
</file>

<file path=xl/worksheets/sheet6.xml><?xml version="1.0" encoding="utf-8"?>
<worksheet xmlns="http://schemas.openxmlformats.org/spreadsheetml/2006/main" xmlns:r="http://schemas.openxmlformats.org/officeDocument/2006/relationships">
  <sheetPr>
    <tabColor theme="4"/>
    <outlinePr summaryRight="0"/>
  </sheetPr>
  <dimension ref="A1:TL93"/>
  <sheetViews>
    <sheetView showGridLines="0" topLeftCell="A47" zoomScale="70" zoomScaleNormal="70" zoomScaleSheetLayoutView="70" workbookViewId="0">
      <selection activeCell="A93" sqref="A93"/>
    </sheetView>
  </sheetViews>
  <sheetFormatPr baseColWidth="10" defaultRowHeight="15.75" customHeight="1"/>
  <cols>
    <col min="1" max="1" width="1.28515625" style="105" customWidth="1"/>
    <col min="2" max="2" width="23.140625" style="105" customWidth="1"/>
    <col min="3" max="3" width="42.140625" style="105" customWidth="1"/>
    <col min="4" max="4" width="17.5703125" style="105" customWidth="1"/>
    <col min="5" max="5" width="17.42578125" style="105" customWidth="1"/>
    <col min="6" max="6" width="15.140625" style="105" customWidth="1"/>
    <col min="7" max="7" width="14.5703125" style="105" customWidth="1"/>
    <col min="8" max="8" width="23.42578125" style="105" customWidth="1"/>
    <col min="9" max="9" width="0.7109375" style="120" customWidth="1"/>
    <col min="10" max="12" width="11.42578125" style="105" hidden="1" customWidth="1"/>
    <col min="13" max="13" width="13.7109375" style="932" customWidth="1"/>
    <col min="14" max="14" width="0.85546875" style="105" customWidth="1"/>
    <col min="15" max="15" width="1.28515625" style="105" customWidth="1"/>
    <col min="16" max="16" width="23.140625" style="105" customWidth="1"/>
    <col min="17" max="17" width="42.140625" style="105" customWidth="1"/>
    <col min="18" max="18" width="17.5703125" style="105" customWidth="1"/>
    <col min="19" max="19" width="17.42578125" style="105" customWidth="1"/>
    <col min="20" max="20" width="15.140625" style="105" customWidth="1"/>
    <col min="21" max="21" width="14.5703125" style="105" customWidth="1"/>
    <col min="22" max="22" width="23.42578125" style="105" customWidth="1"/>
    <col min="23" max="23" width="0.7109375" style="120" customWidth="1"/>
    <col min="24" max="26" width="11.42578125" style="105" hidden="1" customWidth="1"/>
    <col min="27" max="27" width="13.7109375" style="932" customWidth="1"/>
    <col min="28" max="28" width="0.85546875" style="105" customWidth="1"/>
    <col min="29" max="29" width="1.28515625" style="105" customWidth="1"/>
    <col min="30" max="30" width="23.140625" style="105" customWidth="1"/>
    <col min="31" max="31" width="42.140625" style="105" bestFit="1" customWidth="1"/>
    <col min="32" max="32" width="17.5703125" style="105" bestFit="1" customWidth="1"/>
    <col min="33" max="33" width="17.42578125" style="105" bestFit="1" customWidth="1"/>
    <col min="34" max="34" width="15.140625" style="105" bestFit="1" customWidth="1"/>
    <col min="35" max="35" width="14.5703125" style="105" customWidth="1"/>
    <col min="36" max="36" width="23.42578125" style="105" customWidth="1"/>
    <col min="37" max="37" width="0.7109375" style="120" customWidth="1"/>
    <col min="38" max="40" width="11.42578125" style="105" hidden="1" customWidth="1"/>
    <col min="41" max="41" width="13.7109375" style="932" customWidth="1"/>
    <col min="42" max="42" width="0.85546875" style="105" customWidth="1"/>
    <col min="43" max="43" width="1.28515625" style="105" customWidth="1"/>
    <col min="44" max="44" width="23.140625" style="105" customWidth="1"/>
    <col min="45" max="45" width="42.140625" style="105" customWidth="1"/>
    <col min="46" max="46" width="17.5703125" style="105" customWidth="1"/>
    <col min="47" max="47" width="17.42578125" style="105" customWidth="1"/>
    <col min="48" max="48" width="15.140625" style="105" customWidth="1"/>
    <col min="49" max="49" width="14.5703125" style="105" customWidth="1"/>
    <col min="50" max="50" width="23.42578125" style="105" customWidth="1"/>
    <col min="51" max="51" width="0.7109375" style="120" customWidth="1"/>
    <col min="52" max="54" width="11.42578125" style="105" hidden="1" customWidth="1"/>
    <col min="55" max="55" width="13.7109375" style="932" customWidth="1"/>
    <col min="56" max="56" width="0.85546875" style="105" customWidth="1"/>
    <col min="57" max="57" width="1.28515625" style="105" customWidth="1"/>
    <col min="58" max="58" width="23.140625" style="105" customWidth="1"/>
    <col min="59" max="59" width="42.140625" style="105" customWidth="1"/>
    <col min="60" max="60" width="17.5703125" style="105" customWidth="1"/>
    <col min="61" max="61" width="17.42578125" style="105" customWidth="1"/>
    <col min="62" max="62" width="15.140625" style="105" customWidth="1"/>
    <col min="63" max="63" width="14.5703125" style="105" customWidth="1"/>
    <col min="64" max="64" width="23.42578125" style="105" customWidth="1"/>
    <col min="65" max="65" width="0.7109375" style="120" customWidth="1"/>
    <col min="66" max="68" width="11.42578125" style="105" hidden="1" customWidth="1"/>
    <col min="69" max="69" width="13.7109375" style="932" customWidth="1"/>
    <col min="70" max="70" width="0.85546875" style="105" customWidth="1"/>
    <col min="71" max="71" width="1.28515625" style="105" customWidth="1"/>
    <col min="72" max="72" width="23.140625" style="105" customWidth="1"/>
    <col min="73" max="73" width="42.140625" style="105" customWidth="1"/>
    <col min="74" max="74" width="17.5703125" style="105" customWidth="1"/>
    <col min="75" max="75" width="17.42578125" style="105" customWidth="1"/>
    <col min="76" max="76" width="15.140625" style="105" customWidth="1"/>
    <col min="77" max="77" width="14.5703125" style="105" customWidth="1"/>
    <col min="78" max="78" width="23.42578125" style="105" customWidth="1"/>
    <col min="79" max="79" width="0.7109375" style="120" customWidth="1"/>
    <col min="80" max="82" width="11.42578125" style="105" hidden="1" customWidth="1"/>
    <col min="83" max="83" width="13.7109375" style="932" customWidth="1"/>
    <col min="84" max="84" width="0.85546875" style="105" customWidth="1"/>
    <col min="85" max="85" width="1.28515625" style="105" customWidth="1"/>
    <col min="86" max="86" width="23.140625" style="105" customWidth="1"/>
    <col min="87" max="87" width="42.140625" style="105" customWidth="1"/>
    <col min="88" max="88" width="17.5703125" style="105" customWidth="1"/>
    <col min="89" max="89" width="17.42578125" style="105" customWidth="1"/>
    <col min="90" max="90" width="15.140625" style="105" customWidth="1"/>
    <col min="91" max="91" width="14.5703125" style="105" customWidth="1"/>
    <col min="92" max="92" width="23.42578125" style="105" customWidth="1"/>
    <col min="93" max="93" width="0.7109375" style="120" customWidth="1"/>
    <col min="94" max="96" width="11.42578125" style="105" hidden="1" customWidth="1"/>
    <col min="97" max="97" width="13.7109375" style="932" customWidth="1"/>
    <col min="98" max="98" width="0.85546875" style="105" customWidth="1"/>
    <col min="99" max="99" width="1.28515625" style="105" customWidth="1"/>
    <col min="100" max="100" width="23.140625" style="105" customWidth="1"/>
    <col min="101" max="101" width="42.140625" style="105" customWidth="1"/>
    <col min="102" max="102" width="17.5703125" style="105" customWidth="1"/>
    <col min="103" max="103" width="17.42578125" style="105" customWidth="1"/>
    <col min="104" max="104" width="15.140625" style="105" customWidth="1"/>
    <col min="105" max="105" width="14.5703125" style="105" customWidth="1"/>
    <col min="106" max="106" width="23.42578125" style="105" customWidth="1"/>
    <col min="107" max="107" width="0.7109375" style="120" customWidth="1"/>
    <col min="108" max="110" width="11.42578125" style="105" hidden="1" customWidth="1"/>
    <col min="111" max="111" width="13.7109375" style="932" customWidth="1"/>
    <col min="112" max="112" width="0.85546875" style="105" customWidth="1"/>
    <col min="113" max="113" width="1.28515625" style="105" customWidth="1"/>
    <col min="114" max="114" width="23.140625" style="105" customWidth="1"/>
    <col min="115" max="115" width="42.140625" style="105" customWidth="1"/>
    <col min="116" max="116" width="17.5703125" style="105" customWidth="1"/>
    <col min="117" max="117" width="17.42578125" style="105" customWidth="1"/>
    <col min="118" max="118" width="15.140625" style="105" customWidth="1"/>
    <col min="119" max="119" width="14.5703125" style="105" customWidth="1"/>
    <col min="120" max="120" width="23.42578125" style="105" customWidth="1"/>
    <col min="121" max="121" width="0.7109375" style="120" customWidth="1"/>
    <col min="122" max="124" width="11.42578125" style="105" hidden="1" customWidth="1"/>
    <col min="125" max="125" width="13.7109375" style="932" customWidth="1"/>
    <col min="126" max="126" width="0.85546875" style="105" customWidth="1"/>
    <col min="127" max="127" width="1.28515625" style="105" customWidth="1"/>
    <col min="128" max="128" width="23.140625" style="105" customWidth="1"/>
    <col min="129" max="129" width="42.140625" style="105" customWidth="1"/>
    <col min="130" max="130" width="17.5703125" style="105" customWidth="1"/>
    <col min="131" max="131" width="17.42578125" style="105" customWidth="1"/>
    <col min="132" max="132" width="15.140625" style="105" customWidth="1"/>
    <col min="133" max="133" width="14.5703125" style="105" customWidth="1"/>
    <col min="134" max="134" width="23.42578125" style="105" customWidth="1"/>
    <col min="135" max="135" width="0.7109375" style="120" customWidth="1"/>
    <col min="136" max="138" width="11.42578125" style="105" hidden="1" customWidth="1"/>
    <col min="139" max="139" width="13.7109375" style="932" customWidth="1"/>
    <col min="140" max="140" width="0.85546875" style="105" customWidth="1"/>
    <col min="141" max="141" width="1.28515625" style="105" customWidth="1"/>
    <col min="142" max="142" width="23.140625" style="105" customWidth="1"/>
    <col min="143" max="143" width="42.140625" style="105" customWidth="1"/>
    <col min="144" max="144" width="17.5703125" style="105" customWidth="1"/>
    <col min="145" max="145" width="17.42578125" style="105" customWidth="1"/>
    <col min="146" max="146" width="15.140625" style="105" customWidth="1"/>
    <col min="147" max="147" width="14.5703125" style="105" customWidth="1"/>
    <col min="148" max="148" width="23.42578125" style="105" customWidth="1"/>
    <col min="149" max="149" width="0.7109375" style="120" customWidth="1"/>
    <col min="150" max="152" width="11.42578125" style="105" hidden="1" customWidth="1"/>
    <col min="153" max="153" width="13.7109375" style="932" customWidth="1"/>
    <col min="154" max="154" width="0.85546875" style="105" customWidth="1"/>
    <col min="155" max="155" width="1.28515625" style="105" customWidth="1"/>
    <col min="156" max="156" width="23.140625" style="105" customWidth="1"/>
    <col min="157" max="157" width="42.140625" style="105" customWidth="1"/>
    <col min="158" max="158" width="17.5703125" style="105" customWidth="1"/>
    <col min="159" max="159" width="17.42578125" style="105" customWidth="1"/>
    <col min="160" max="160" width="15.140625" style="105" customWidth="1"/>
    <col min="161" max="161" width="14.5703125" style="105" customWidth="1"/>
    <col min="162" max="162" width="23.42578125" style="105" customWidth="1"/>
    <col min="163" max="163" width="0.7109375" style="120" customWidth="1"/>
    <col min="164" max="166" width="11.42578125" style="105" hidden="1" customWidth="1"/>
    <col min="167" max="167" width="13.7109375" style="932" customWidth="1"/>
    <col min="168" max="168" width="0.85546875" style="105" customWidth="1"/>
    <col min="169" max="169" width="1.28515625" style="105" customWidth="1"/>
    <col min="170" max="170" width="23.140625" style="105" customWidth="1"/>
    <col min="171" max="171" width="42.140625" style="105" customWidth="1"/>
    <col min="172" max="172" width="17.5703125" style="105" customWidth="1"/>
    <col min="173" max="173" width="17.42578125" style="105" customWidth="1"/>
    <col min="174" max="174" width="15.140625" style="105" customWidth="1"/>
    <col min="175" max="175" width="14.5703125" style="105" customWidth="1"/>
    <col min="176" max="176" width="23.42578125" style="105" customWidth="1"/>
    <col min="177" max="177" width="0.7109375" style="120" customWidth="1"/>
    <col min="178" max="180" width="11.42578125" style="105" hidden="1" customWidth="1"/>
    <col min="181" max="181" width="13.7109375" style="932" customWidth="1"/>
    <col min="182" max="182" width="0.85546875" style="105" customWidth="1"/>
    <col min="183" max="183" width="1.28515625" style="105" customWidth="1"/>
    <col min="184" max="184" width="23.140625" style="105" customWidth="1"/>
    <col min="185" max="185" width="42.140625" style="105" customWidth="1"/>
    <col min="186" max="186" width="17.5703125" style="105" customWidth="1"/>
    <col min="187" max="187" width="17.42578125" style="105" customWidth="1"/>
    <col min="188" max="188" width="15.140625" style="105" customWidth="1"/>
    <col min="189" max="189" width="14.5703125" style="105" customWidth="1"/>
    <col min="190" max="190" width="23.42578125" style="105" customWidth="1"/>
    <col min="191" max="191" width="0.7109375" style="120" customWidth="1"/>
    <col min="192" max="194" width="11.42578125" style="105" hidden="1" customWidth="1"/>
    <col min="195" max="195" width="13.7109375" style="932" customWidth="1"/>
    <col min="196" max="196" width="0.85546875" style="105" customWidth="1"/>
    <col min="197" max="197" width="1.28515625" style="105" customWidth="1"/>
    <col min="198" max="198" width="23.140625" style="105" customWidth="1"/>
    <col min="199" max="199" width="42.140625" style="105" customWidth="1"/>
    <col min="200" max="200" width="17.5703125" style="105" customWidth="1"/>
    <col min="201" max="201" width="17.42578125" style="105" customWidth="1"/>
    <col min="202" max="202" width="15.140625" style="105" customWidth="1"/>
    <col min="203" max="203" width="14.5703125" style="105" customWidth="1"/>
    <col min="204" max="204" width="23.42578125" style="105" customWidth="1"/>
    <col min="205" max="205" width="0.7109375" style="120" customWidth="1"/>
    <col min="206" max="208" width="11.42578125" style="105" hidden="1" customWidth="1"/>
    <col min="209" max="209" width="13.7109375" style="932" customWidth="1"/>
    <col min="210" max="210" width="0.85546875" style="105" customWidth="1"/>
    <col min="211" max="211" width="1.28515625" style="105" customWidth="1"/>
    <col min="212" max="212" width="23.140625" style="105" customWidth="1"/>
    <col min="213" max="213" width="42.140625" style="105" customWidth="1"/>
    <col min="214" max="214" width="17.5703125" style="105" customWidth="1"/>
    <col min="215" max="215" width="17.42578125" style="105" customWidth="1"/>
    <col min="216" max="216" width="15.140625" style="105" customWidth="1"/>
    <col min="217" max="217" width="14.5703125" style="105" customWidth="1"/>
    <col min="218" max="218" width="23.42578125" style="105" customWidth="1"/>
    <col min="219" max="219" width="0.7109375" style="120" customWidth="1"/>
    <col min="220" max="222" width="11.42578125" style="105" hidden="1" customWidth="1"/>
    <col min="223" max="223" width="13.7109375" style="932" customWidth="1"/>
    <col min="224" max="224" width="0.85546875" style="105" customWidth="1"/>
    <col min="225" max="225" width="1.28515625" style="105" customWidth="1"/>
    <col min="226" max="226" width="23.140625" style="105" customWidth="1"/>
    <col min="227" max="227" width="42.140625" style="105" customWidth="1"/>
    <col min="228" max="228" width="17.5703125" style="105" customWidth="1"/>
    <col min="229" max="229" width="17.42578125" style="105" customWidth="1"/>
    <col min="230" max="230" width="15.140625" style="105" customWidth="1"/>
    <col min="231" max="231" width="14.5703125" style="105" customWidth="1"/>
    <col min="232" max="232" width="23.42578125" style="105" customWidth="1"/>
    <col min="233" max="233" width="0.7109375" style="120" customWidth="1"/>
    <col min="234" max="236" width="11.42578125" style="105" hidden="1" customWidth="1"/>
    <col min="237" max="237" width="13.7109375" style="932" customWidth="1"/>
    <col min="238" max="238" width="0.85546875" style="105" customWidth="1"/>
    <col min="239" max="239" width="1.28515625" style="105" customWidth="1"/>
    <col min="240" max="240" width="23.140625" style="105" customWidth="1"/>
    <col min="241" max="241" width="42.140625" style="105" customWidth="1"/>
    <col min="242" max="242" width="17.5703125" style="105" customWidth="1"/>
    <col min="243" max="243" width="17.42578125" style="105" customWidth="1"/>
    <col min="244" max="244" width="15.140625" style="105" customWidth="1"/>
    <col min="245" max="245" width="14.5703125" style="105" customWidth="1"/>
    <col min="246" max="246" width="23.42578125" style="105" customWidth="1"/>
    <col min="247" max="247" width="0.7109375" style="120" customWidth="1"/>
    <col min="248" max="250" width="11.42578125" style="105" hidden="1" customWidth="1"/>
    <col min="251" max="251" width="13.7109375" style="932" customWidth="1"/>
    <col min="252" max="252" width="0.85546875" style="105" customWidth="1"/>
    <col min="253" max="253" width="1.28515625" style="105" customWidth="1"/>
    <col min="254" max="254" width="23.140625" style="105" customWidth="1"/>
    <col min="255" max="255" width="42.140625" style="105" customWidth="1"/>
    <col min="256" max="256" width="17.5703125" style="105" customWidth="1"/>
    <col min="257" max="257" width="17.42578125" style="105" customWidth="1"/>
    <col min="258" max="258" width="15.140625" style="105" customWidth="1"/>
    <col min="259" max="259" width="14.5703125" style="105" customWidth="1"/>
    <col min="260" max="260" width="23.42578125" style="105" customWidth="1"/>
    <col min="261" max="261" width="0.7109375" style="120" customWidth="1"/>
    <col min="262" max="264" width="11.42578125" style="105" hidden="1" customWidth="1"/>
    <col min="265" max="265" width="13.7109375" style="932" customWidth="1"/>
    <col min="266" max="266" width="0.85546875" style="105" customWidth="1"/>
    <col min="267" max="267" width="1.28515625" style="105" customWidth="1"/>
    <col min="268" max="268" width="23.140625" style="105" customWidth="1"/>
    <col min="269" max="269" width="42.140625" style="105" bestFit="1" customWidth="1"/>
    <col min="270" max="270" width="17.5703125" style="105" bestFit="1" customWidth="1"/>
    <col min="271" max="271" width="17.42578125" style="105" bestFit="1" customWidth="1"/>
    <col min="272" max="272" width="15.140625" style="105" bestFit="1" customWidth="1"/>
    <col min="273" max="273" width="14.5703125" style="105" customWidth="1"/>
    <col min="274" max="274" width="23.42578125" style="105" customWidth="1"/>
    <col min="275" max="275" width="0.7109375" style="120" customWidth="1"/>
    <col min="276" max="278" width="11.42578125" style="105" hidden="1" customWidth="1"/>
    <col min="279" max="279" width="13.7109375" style="932" customWidth="1"/>
    <col min="280" max="280" width="0.85546875" style="105" customWidth="1"/>
    <col min="281" max="281" width="1.28515625" style="105" customWidth="1"/>
    <col min="282" max="282" width="23.140625" style="105" customWidth="1"/>
    <col min="283" max="283" width="42.140625" style="105" customWidth="1"/>
    <col min="284" max="284" width="17.5703125" style="105" customWidth="1"/>
    <col min="285" max="285" width="17.42578125" style="105" customWidth="1"/>
    <col min="286" max="286" width="15.140625" style="105" customWidth="1"/>
    <col min="287" max="287" width="14.5703125" style="105" customWidth="1"/>
    <col min="288" max="288" width="23.42578125" style="105" customWidth="1"/>
    <col min="289" max="289" width="0.7109375" style="120" customWidth="1"/>
    <col min="290" max="292" width="11.42578125" style="105" hidden="1" customWidth="1"/>
    <col min="293" max="293" width="13.7109375" style="932" customWidth="1"/>
    <col min="294" max="294" width="0.85546875" style="105" customWidth="1"/>
    <col min="295" max="295" width="1.28515625" style="105" customWidth="1"/>
    <col min="296" max="296" width="23.140625" style="105" customWidth="1"/>
    <col min="297" max="297" width="42.140625" style="105" customWidth="1"/>
    <col min="298" max="298" width="17.5703125" style="105" customWidth="1"/>
    <col min="299" max="299" width="17.42578125" style="105" customWidth="1"/>
    <col min="300" max="300" width="15.140625" style="105" customWidth="1"/>
    <col min="301" max="301" width="14.5703125" style="105" customWidth="1"/>
    <col min="302" max="302" width="23.42578125" style="105" customWidth="1"/>
    <col min="303" max="303" width="0.7109375" style="120" customWidth="1"/>
    <col min="304" max="306" width="11.42578125" style="105" hidden="1" customWidth="1"/>
    <col min="307" max="307" width="13.7109375" style="932" customWidth="1"/>
    <col min="308" max="308" width="0.85546875" style="105" customWidth="1"/>
    <col min="309" max="309" width="1.28515625" style="105" customWidth="1"/>
    <col min="310" max="310" width="23.140625" style="105" customWidth="1"/>
    <col min="311" max="311" width="42.140625" style="105" customWidth="1"/>
    <col min="312" max="312" width="17.5703125" style="105" customWidth="1"/>
    <col min="313" max="313" width="17.42578125" style="105" customWidth="1"/>
    <col min="314" max="314" width="15.140625" style="105" customWidth="1"/>
    <col min="315" max="315" width="14.5703125" style="105" customWidth="1"/>
    <col min="316" max="316" width="23.42578125" style="105" customWidth="1"/>
    <col min="317" max="317" width="0.7109375" style="120" customWidth="1"/>
    <col min="318" max="320" width="11.42578125" style="105" hidden="1" customWidth="1"/>
    <col min="321" max="321" width="13.7109375" style="932" customWidth="1"/>
    <col min="322" max="322" width="0.85546875" style="105" customWidth="1"/>
    <col min="323" max="323" width="1.28515625" style="105" customWidth="1"/>
    <col min="324" max="324" width="23.140625" style="105" customWidth="1"/>
    <col min="325" max="325" width="42.140625" style="105" customWidth="1"/>
    <col min="326" max="326" width="17.5703125" style="105" customWidth="1"/>
    <col min="327" max="327" width="17.42578125" style="105" customWidth="1"/>
    <col min="328" max="328" width="15.140625" style="105" customWidth="1"/>
    <col min="329" max="329" width="14.5703125" style="105" customWidth="1"/>
    <col min="330" max="330" width="23.42578125" style="105" customWidth="1"/>
    <col min="331" max="331" width="0.7109375" style="120" customWidth="1"/>
    <col min="332" max="334" width="11.42578125" style="105" hidden="1" customWidth="1"/>
    <col min="335" max="335" width="13.7109375" style="932" customWidth="1"/>
    <col min="336" max="336" width="0.85546875" style="105" customWidth="1"/>
    <col min="337" max="337" width="1.28515625" style="105" customWidth="1"/>
    <col min="338" max="338" width="23.140625" style="105" customWidth="1"/>
    <col min="339" max="339" width="42.140625" style="105" customWidth="1"/>
    <col min="340" max="340" width="17.5703125" style="105" customWidth="1"/>
    <col min="341" max="341" width="17.42578125" style="105" customWidth="1"/>
    <col min="342" max="342" width="15.140625" style="105" customWidth="1"/>
    <col min="343" max="343" width="14.5703125" style="105" customWidth="1"/>
    <col min="344" max="344" width="23.42578125" style="105" customWidth="1"/>
    <col min="345" max="345" width="0.7109375" style="120" customWidth="1"/>
    <col min="346" max="348" width="11.42578125" style="105" hidden="1" customWidth="1"/>
    <col min="349" max="349" width="13.7109375" style="932" customWidth="1"/>
    <col min="350" max="350" width="0.85546875" style="105" customWidth="1"/>
    <col min="351" max="351" width="1.28515625" style="105" customWidth="1"/>
    <col min="352" max="352" width="23.140625" style="105" customWidth="1"/>
    <col min="353" max="353" width="42.140625" style="105" customWidth="1"/>
    <col min="354" max="354" width="17.5703125" style="105" customWidth="1"/>
    <col min="355" max="355" width="17.42578125" style="105" customWidth="1"/>
    <col min="356" max="356" width="15.140625" style="105" customWidth="1"/>
    <col min="357" max="357" width="14.5703125" style="105" customWidth="1"/>
    <col min="358" max="358" width="23.42578125" style="105" customWidth="1"/>
    <col min="359" max="359" width="0.7109375" style="120" customWidth="1"/>
    <col min="360" max="362" width="11.42578125" style="105" hidden="1" customWidth="1"/>
    <col min="363" max="363" width="13.7109375" style="932" customWidth="1"/>
    <col min="364" max="364" width="0.85546875" style="105" customWidth="1"/>
    <col min="365" max="365" width="1.28515625" style="105" customWidth="1"/>
    <col min="366" max="366" width="23.140625" style="105" customWidth="1"/>
    <col min="367" max="367" width="42.140625" style="105" customWidth="1"/>
    <col min="368" max="368" width="17.5703125" style="105" customWidth="1"/>
    <col min="369" max="369" width="17.42578125" style="105" customWidth="1"/>
    <col min="370" max="370" width="15.140625" style="105" customWidth="1"/>
    <col min="371" max="371" width="14.5703125" style="105" customWidth="1"/>
    <col min="372" max="372" width="23.42578125" style="105" customWidth="1"/>
    <col min="373" max="373" width="0.7109375" style="120" customWidth="1"/>
    <col min="374" max="376" width="11.42578125" style="105" hidden="1" customWidth="1"/>
    <col min="377" max="377" width="13.7109375" style="932" customWidth="1"/>
    <col min="378" max="378" width="0.85546875" style="105" customWidth="1"/>
    <col min="379" max="379" width="1.28515625" style="105" customWidth="1"/>
    <col min="380" max="380" width="23.140625" style="105" customWidth="1"/>
    <col min="381" max="381" width="42.140625" style="105" customWidth="1"/>
    <col min="382" max="382" width="17.5703125" style="105" customWidth="1"/>
    <col min="383" max="383" width="17.42578125" style="105" customWidth="1"/>
    <col min="384" max="384" width="15.140625" style="105" customWidth="1"/>
    <col min="385" max="385" width="14.5703125" style="105" customWidth="1"/>
    <col min="386" max="386" width="23.42578125" style="105" customWidth="1"/>
    <col min="387" max="387" width="0.7109375" style="120" customWidth="1"/>
    <col min="388" max="390" width="11.42578125" style="105" hidden="1" customWidth="1"/>
    <col min="391" max="391" width="13.7109375" style="932" customWidth="1"/>
    <col min="392" max="392" width="0.85546875" style="105" customWidth="1"/>
    <col min="393" max="393" width="1.28515625" style="105" customWidth="1"/>
    <col min="394" max="394" width="23.140625" style="105" customWidth="1"/>
    <col min="395" max="395" width="42.140625" style="105" customWidth="1"/>
    <col min="396" max="396" width="17.5703125" style="105" customWidth="1"/>
    <col min="397" max="397" width="17.42578125" style="105" customWidth="1"/>
    <col min="398" max="398" width="15.140625" style="105" customWidth="1"/>
    <col min="399" max="399" width="14.5703125" style="105" customWidth="1"/>
    <col min="400" max="400" width="23.42578125" style="105" customWidth="1"/>
    <col min="401" max="401" width="0.7109375" style="120" customWidth="1"/>
    <col min="402" max="404" width="11.42578125" style="105" hidden="1" customWidth="1"/>
    <col min="405" max="405" width="13.7109375" style="932" customWidth="1"/>
    <col min="406" max="406" width="0.85546875" style="105" customWidth="1"/>
    <col min="407" max="407" width="1.28515625" style="105" customWidth="1"/>
    <col min="408" max="408" width="23.140625" style="105" customWidth="1"/>
    <col min="409" max="409" width="42.140625" style="105" customWidth="1"/>
    <col min="410" max="410" width="17.5703125" style="105" customWidth="1"/>
    <col min="411" max="411" width="17.42578125" style="105" customWidth="1"/>
    <col min="412" max="412" width="15.140625" style="105" customWidth="1"/>
    <col min="413" max="413" width="14.5703125" style="105" customWidth="1"/>
    <col min="414" max="414" width="23.42578125" style="105" customWidth="1"/>
    <col min="415" max="415" width="0.7109375" style="120" customWidth="1"/>
    <col min="416" max="418" width="11.42578125" style="105" hidden="1" customWidth="1"/>
    <col min="419" max="419" width="13.7109375" style="932" customWidth="1"/>
    <col min="420" max="420" width="0.85546875" style="105" customWidth="1"/>
    <col min="421" max="421" width="1.28515625" style="105" customWidth="1"/>
    <col min="422" max="422" width="23.140625" style="105" customWidth="1"/>
    <col min="423" max="423" width="42.140625" style="105" customWidth="1"/>
    <col min="424" max="424" width="17.5703125" style="105" customWidth="1"/>
    <col min="425" max="425" width="17.42578125" style="105" customWidth="1"/>
    <col min="426" max="426" width="15.140625" style="105" customWidth="1"/>
    <col min="427" max="427" width="14.5703125" style="105" customWidth="1"/>
    <col min="428" max="428" width="23.42578125" style="105" customWidth="1"/>
    <col min="429" max="429" width="0.7109375" style="120" customWidth="1"/>
    <col min="430" max="432" width="11.42578125" style="105" hidden="1" customWidth="1"/>
    <col min="433" max="433" width="13.7109375" style="932" customWidth="1"/>
    <col min="434" max="434" width="0.85546875" style="105" customWidth="1"/>
    <col min="435" max="435" width="1.28515625" style="105" customWidth="1"/>
    <col min="436" max="436" width="23.140625" style="105" customWidth="1"/>
    <col min="437" max="437" width="42.140625" style="105" customWidth="1"/>
    <col min="438" max="438" width="17.5703125" style="105" customWidth="1"/>
    <col min="439" max="439" width="17.42578125" style="105" customWidth="1"/>
    <col min="440" max="440" width="15.140625" style="105" customWidth="1"/>
    <col min="441" max="441" width="14.5703125" style="105" customWidth="1"/>
    <col min="442" max="442" width="23.42578125" style="105" customWidth="1"/>
    <col min="443" max="443" width="0.7109375" style="120" customWidth="1"/>
    <col min="444" max="446" width="11.42578125" style="105" hidden="1" customWidth="1"/>
    <col min="447" max="447" width="13.7109375" style="932" customWidth="1"/>
    <col min="448" max="448" width="0.85546875" style="105" customWidth="1"/>
    <col min="449" max="449" width="1.28515625" style="105" customWidth="1"/>
    <col min="450" max="450" width="23.140625" style="105" customWidth="1"/>
    <col min="451" max="451" width="42.140625" style="105" customWidth="1"/>
    <col min="452" max="452" width="17.5703125" style="105" customWidth="1"/>
    <col min="453" max="453" width="17.42578125" style="105" customWidth="1"/>
    <col min="454" max="454" width="15.140625" style="105" customWidth="1"/>
    <col min="455" max="455" width="14.5703125" style="105" customWidth="1"/>
    <col min="456" max="456" width="23.42578125" style="105" customWidth="1"/>
    <col min="457" max="457" width="0.7109375" style="120" customWidth="1"/>
    <col min="458" max="460" width="11.42578125" style="105" hidden="1" customWidth="1"/>
    <col min="461" max="461" width="13.7109375" style="932" customWidth="1"/>
    <col min="462" max="462" width="0.85546875" style="105" customWidth="1"/>
    <col min="463" max="463" width="1.28515625" style="105" customWidth="1"/>
    <col min="464" max="464" width="23.140625" style="105" customWidth="1"/>
    <col min="465" max="465" width="42.140625" style="105" customWidth="1"/>
    <col min="466" max="466" width="17.5703125" style="105" customWidth="1"/>
    <col min="467" max="467" width="17.42578125" style="105" customWidth="1"/>
    <col min="468" max="468" width="15.140625" style="105" customWidth="1"/>
    <col min="469" max="469" width="14.5703125" style="105" customWidth="1"/>
    <col min="470" max="470" width="23.42578125" style="105" customWidth="1"/>
    <col min="471" max="471" width="0.7109375" style="120" customWidth="1"/>
    <col min="472" max="474" width="11.42578125" style="105" hidden="1" customWidth="1"/>
    <col min="475" max="475" width="13.7109375" style="932" customWidth="1"/>
    <col min="476" max="476" width="0.85546875" style="105" customWidth="1"/>
    <col min="477" max="477" width="1.28515625" style="105" customWidth="1"/>
    <col min="478" max="478" width="23.140625" style="105" customWidth="1"/>
    <col min="479" max="479" width="42.140625" style="105" customWidth="1"/>
    <col min="480" max="480" width="17.5703125" style="105" customWidth="1"/>
    <col min="481" max="481" width="17.42578125" style="105" customWidth="1"/>
    <col min="482" max="482" width="15.140625" style="105" customWidth="1"/>
    <col min="483" max="483" width="14.5703125" style="105" customWidth="1"/>
    <col min="484" max="484" width="23.42578125" style="105" customWidth="1"/>
    <col min="485" max="485" width="0.7109375" style="120" customWidth="1"/>
    <col min="486" max="488" width="11.42578125" style="105" hidden="1" customWidth="1"/>
    <col min="489" max="489" width="13.7109375" style="932" customWidth="1"/>
    <col min="490" max="490" width="0.85546875" style="105" customWidth="1"/>
    <col min="491" max="491" width="1.28515625" style="105" customWidth="1"/>
    <col min="492" max="492" width="23.140625" style="105" customWidth="1"/>
    <col min="493" max="493" width="42.140625" style="105" customWidth="1"/>
    <col min="494" max="494" width="17.5703125" style="105" customWidth="1"/>
    <col min="495" max="495" width="17.42578125" style="105" customWidth="1"/>
    <col min="496" max="496" width="15.140625" style="105" customWidth="1"/>
    <col min="497" max="497" width="14.5703125" style="105" customWidth="1"/>
    <col min="498" max="498" width="23.42578125" style="105" customWidth="1"/>
    <col min="499" max="499" width="0.7109375" style="120" customWidth="1"/>
    <col min="500" max="502" width="11.42578125" style="105" hidden="1" customWidth="1"/>
    <col min="503" max="503" width="13.7109375" style="932" customWidth="1"/>
    <col min="504" max="504" width="0.85546875" style="105" customWidth="1"/>
    <col min="505" max="505" width="1.28515625" style="105" customWidth="1"/>
    <col min="506" max="506" width="23.140625" style="105" customWidth="1"/>
    <col min="507" max="507" width="42.140625" style="105" customWidth="1"/>
    <col min="508" max="508" width="17.5703125" style="105" customWidth="1"/>
    <col min="509" max="509" width="17.42578125" style="105" customWidth="1"/>
    <col min="510" max="510" width="15.140625" style="105" customWidth="1"/>
    <col min="511" max="511" width="14.5703125" style="105" customWidth="1"/>
    <col min="512" max="512" width="23.42578125" style="105" customWidth="1"/>
    <col min="513" max="513" width="0.7109375" style="120" customWidth="1"/>
    <col min="514" max="516" width="11.42578125" style="105" hidden="1" customWidth="1"/>
    <col min="517" max="517" width="13.7109375" style="932" customWidth="1"/>
    <col min="518" max="518" width="0.85546875" style="105" customWidth="1"/>
    <col min="519" max="519" width="1.28515625" style="105" customWidth="1"/>
    <col min="520" max="520" width="23.140625" style="105" customWidth="1"/>
    <col min="521" max="521" width="42.140625" style="105" bestFit="1" customWidth="1"/>
    <col min="522" max="522" width="17.5703125" style="105" bestFit="1" customWidth="1"/>
    <col min="523" max="523" width="17.42578125" style="105" bestFit="1" customWidth="1"/>
    <col min="524" max="524" width="15.140625" style="105" bestFit="1" customWidth="1"/>
    <col min="525" max="525" width="14.5703125" style="105" customWidth="1"/>
    <col min="526" max="526" width="23.42578125" style="105" customWidth="1"/>
    <col min="527" max="527" width="0.7109375" style="120" customWidth="1"/>
    <col min="528" max="530" width="11.42578125" style="105" hidden="1" customWidth="1"/>
    <col min="531" max="531" width="13.7109375" style="932" customWidth="1"/>
    <col min="532" max="532" width="0.85546875" style="105" customWidth="1"/>
    <col min="533" max="16384" width="11.42578125" style="105"/>
  </cols>
  <sheetData>
    <row r="1" spans="1:531" s="104" customFormat="1" ht="15.75" customHeight="1" thickBot="1">
      <c r="B1" s="4" t="s">
        <v>2343</v>
      </c>
      <c r="I1" s="105"/>
      <c r="M1" s="931"/>
      <c r="P1" s="4" t="s">
        <v>2343</v>
      </c>
      <c r="W1" s="105"/>
      <c r="AA1" s="931"/>
      <c r="AD1" s="4" t="s">
        <v>2343</v>
      </c>
      <c r="AK1" s="105"/>
      <c r="AO1" s="931"/>
      <c r="AR1" s="4" t="s">
        <v>2343</v>
      </c>
      <c r="AY1" s="105"/>
      <c r="BC1" s="931"/>
      <c r="BF1" s="4" t="s">
        <v>2343</v>
      </c>
      <c r="BM1" s="105"/>
      <c r="BQ1" s="931"/>
      <c r="BT1" s="4" t="s">
        <v>2343</v>
      </c>
      <c r="CA1" s="105"/>
      <c r="CE1" s="931"/>
      <c r="CH1" s="4" t="s">
        <v>2343</v>
      </c>
      <c r="CO1" s="105"/>
      <c r="CS1" s="931"/>
      <c r="CV1" s="4" t="s">
        <v>2343</v>
      </c>
      <c r="DC1" s="105"/>
      <c r="DG1" s="931"/>
      <c r="DJ1" s="4" t="s">
        <v>2343</v>
      </c>
      <c r="DQ1" s="105"/>
      <c r="DU1" s="931"/>
      <c r="DX1" s="4" t="s">
        <v>2343</v>
      </c>
      <c r="EE1" s="105"/>
      <c r="EI1" s="931"/>
      <c r="EL1" s="4" t="s">
        <v>2343</v>
      </c>
      <c r="ES1" s="105"/>
      <c r="EW1" s="931"/>
      <c r="EZ1" s="4" t="s">
        <v>2343</v>
      </c>
      <c r="FG1" s="105"/>
      <c r="FK1" s="931"/>
      <c r="FN1" s="4" t="s">
        <v>2343</v>
      </c>
      <c r="FU1" s="105"/>
      <c r="FY1" s="931"/>
      <c r="GB1" s="4" t="s">
        <v>2343</v>
      </c>
      <c r="GI1" s="105"/>
      <c r="GM1" s="931"/>
      <c r="GP1" s="4" t="s">
        <v>2343</v>
      </c>
      <c r="GW1" s="105"/>
      <c r="HA1" s="931"/>
      <c r="HD1" s="4" t="s">
        <v>2343</v>
      </c>
      <c r="HK1" s="105"/>
      <c r="HO1" s="931"/>
      <c r="HR1" s="4" t="s">
        <v>2343</v>
      </c>
      <c r="HY1" s="105"/>
      <c r="IC1" s="931"/>
      <c r="IF1" s="4" t="s">
        <v>2343</v>
      </c>
      <c r="IM1" s="105"/>
      <c r="IQ1" s="931"/>
      <c r="IT1" s="4" t="s">
        <v>2343</v>
      </c>
      <c r="JA1" s="105"/>
      <c r="JE1" s="931"/>
      <c r="JH1" s="4" t="s">
        <v>2343</v>
      </c>
      <c r="JO1" s="105"/>
      <c r="JS1" s="931"/>
      <c r="JV1" s="4" t="s">
        <v>2343</v>
      </c>
      <c r="KC1" s="105"/>
      <c r="KG1" s="931"/>
      <c r="KJ1" s="4" t="s">
        <v>2343</v>
      </c>
      <c r="KQ1" s="105"/>
      <c r="KU1" s="931"/>
      <c r="KX1" s="4" t="s">
        <v>2343</v>
      </c>
      <c r="LE1" s="105"/>
      <c r="LI1" s="931"/>
      <c r="LL1" s="4" t="s">
        <v>2343</v>
      </c>
      <c r="LS1" s="105"/>
      <c r="LW1" s="931"/>
      <c r="LZ1" s="4" t="s">
        <v>2343</v>
      </c>
      <c r="MG1" s="105"/>
      <c r="MK1" s="931"/>
      <c r="MN1" s="4" t="s">
        <v>2343</v>
      </c>
      <c r="MU1" s="105"/>
      <c r="MY1" s="931"/>
      <c r="NB1" s="4" t="s">
        <v>2343</v>
      </c>
      <c r="NI1" s="105"/>
      <c r="NM1" s="931"/>
      <c r="NP1" s="4" t="s">
        <v>2343</v>
      </c>
      <c r="NW1" s="105"/>
      <c r="OA1" s="931"/>
      <c r="OD1" s="4" t="s">
        <v>2343</v>
      </c>
      <c r="OK1" s="105"/>
      <c r="OO1" s="931"/>
      <c r="OR1" s="4" t="s">
        <v>2343</v>
      </c>
      <c r="OY1" s="105"/>
      <c r="PC1" s="931"/>
      <c r="PF1" s="4" t="s">
        <v>2343</v>
      </c>
      <c r="PM1" s="105"/>
      <c r="PQ1" s="931"/>
      <c r="PT1" s="4" t="s">
        <v>2343</v>
      </c>
      <c r="QA1" s="105"/>
      <c r="QE1" s="931"/>
      <c r="QH1" s="4" t="s">
        <v>2343</v>
      </c>
      <c r="QO1" s="105"/>
      <c r="QS1" s="931"/>
      <c r="QV1" s="4" t="s">
        <v>2343</v>
      </c>
      <c r="RC1" s="105"/>
      <c r="RG1" s="931"/>
      <c r="RJ1" s="4" t="s">
        <v>2343</v>
      </c>
      <c r="RQ1" s="105"/>
      <c r="RU1" s="931"/>
      <c r="RX1" s="4" t="s">
        <v>2343</v>
      </c>
      <c r="SE1" s="105"/>
      <c r="SI1" s="931"/>
      <c r="SL1" s="4" t="s">
        <v>2343</v>
      </c>
      <c r="SS1" s="105"/>
      <c r="SW1" s="931"/>
      <c r="SZ1" s="4" t="s">
        <v>2343</v>
      </c>
      <c r="TG1" s="105"/>
      <c r="TK1" s="931"/>
    </row>
    <row r="2" spans="1:531" s="104" customFormat="1" ht="15.75" customHeight="1">
      <c r="B2" s="420"/>
      <c r="C2" s="421"/>
      <c r="D2" s="421"/>
      <c r="E2" s="421"/>
      <c r="F2" s="422"/>
      <c r="G2" s="422"/>
      <c r="H2" s="423"/>
      <c r="I2" s="105"/>
      <c r="M2" s="931"/>
      <c r="P2" s="420"/>
      <c r="Q2" s="421"/>
      <c r="R2" s="421"/>
      <c r="S2" s="421"/>
      <c r="T2" s="422"/>
      <c r="U2" s="422"/>
      <c r="V2" s="423"/>
      <c r="W2" s="105"/>
      <c r="AA2" s="931"/>
      <c r="AD2" s="420"/>
      <c r="AE2" s="421"/>
      <c r="AF2" s="421"/>
      <c r="AG2" s="421"/>
      <c r="AH2" s="422"/>
      <c r="AI2" s="422"/>
      <c r="AJ2" s="423"/>
      <c r="AK2" s="105"/>
      <c r="AO2" s="931"/>
      <c r="AR2" s="420"/>
      <c r="AS2" s="421"/>
      <c r="AT2" s="421"/>
      <c r="AU2" s="421"/>
      <c r="AV2" s="422"/>
      <c r="AW2" s="422"/>
      <c r="AX2" s="423"/>
      <c r="AY2" s="105"/>
      <c r="BC2" s="931"/>
      <c r="BF2" s="420"/>
      <c r="BG2" s="421"/>
      <c r="BH2" s="421"/>
      <c r="BI2" s="421"/>
      <c r="BJ2" s="422"/>
      <c r="BK2" s="422"/>
      <c r="BL2" s="423"/>
      <c r="BM2" s="105"/>
      <c r="BQ2" s="931"/>
      <c r="BT2" s="420"/>
      <c r="BU2" s="421"/>
      <c r="BV2" s="421"/>
      <c r="BW2" s="421"/>
      <c r="BX2" s="422"/>
      <c r="BY2" s="422"/>
      <c r="BZ2" s="423"/>
      <c r="CA2" s="105"/>
      <c r="CE2" s="931"/>
      <c r="CH2" s="420"/>
      <c r="CI2" s="421"/>
      <c r="CJ2" s="421"/>
      <c r="CK2" s="421"/>
      <c r="CL2" s="422"/>
      <c r="CM2" s="422"/>
      <c r="CN2" s="423"/>
      <c r="CO2" s="105"/>
      <c r="CS2" s="931"/>
      <c r="CV2" s="420"/>
      <c r="CW2" s="421"/>
      <c r="CX2" s="421"/>
      <c r="CY2" s="421"/>
      <c r="CZ2" s="422"/>
      <c r="DA2" s="422"/>
      <c r="DB2" s="423"/>
      <c r="DC2" s="105"/>
      <c r="DG2" s="931"/>
      <c r="DJ2" s="420"/>
      <c r="DK2" s="421"/>
      <c r="DL2" s="421"/>
      <c r="DM2" s="421"/>
      <c r="DN2" s="422"/>
      <c r="DO2" s="422"/>
      <c r="DP2" s="423"/>
      <c r="DQ2" s="105"/>
      <c r="DU2" s="931"/>
      <c r="DX2" s="420"/>
      <c r="DY2" s="421"/>
      <c r="DZ2" s="421"/>
      <c r="EA2" s="421"/>
      <c r="EB2" s="422"/>
      <c r="EC2" s="422"/>
      <c r="ED2" s="423"/>
      <c r="EE2" s="105"/>
      <c r="EI2" s="931"/>
      <c r="EL2" s="420"/>
      <c r="EM2" s="421"/>
      <c r="EN2" s="421"/>
      <c r="EO2" s="421"/>
      <c r="EP2" s="422"/>
      <c r="EQ2" s="422"/>
      <c r="ER2" s="423"/>
      <c r="ES2" s="105"/>
      <c r="EW2" s="931"/>
      <c r="EZ2" s="420"/>
      <c r="FA2" s="421"/>
      <c r="FB2" s="421"/>
      <c r="FC2" s="421"/>
      <c r="FD2" s="422"/>
      <c r="FE2" s="422"/>
      <c r="FF2" s="423"/>
      <c r="FG2" s="105"/>
      <c r="FK2" s="931"/>
      <c r="FN2" s="420"/>
      <c r="FO2" s="421"/>
      <c r="FP2" s="421"/>
      <c r="FQ2" s="421"/>
      <c r="FR2" s="422"/>
      <c r="FS2" s="422"/>
      <c r="FT2" s="423"/>
      <c r="FU2" s="105"/>
      <c r="FY2" s="931"/>
      <c r="GB2" s="420"/>
      <c r="GC2" s="421"/>
      <c r="GD2" s="421"/>
      <c r="GE2" s="421"/>
      <c r="GF2" s="422"/>
      <c r="GG2" s="422"/>
      <c r="GH2" s="423"/>
      <c r="GI2" s="105"/>
      <c r="GM2" s="931"/>
      <c r="GP2" s="420"/>
      <c r="GQ2" s="421"/>
      <c r="GR2" s="421"/>
      <c r="GS2" s="421"/>
      <c r="GT2" s="422"/>
      <c r="GU2" s="422"/>
      <c r="GV2" s="423"/>
      <c r="GW2" s="105"/>
      <c r="HA2" s="931"/>
      <c r="HD2" s="420"/>
      <c r="HE2" s="421"/>
      <c r="HF2" s="421"/>
      <c r="HG2" s="421"/>
      <c r="HH2" s="422"/>
      <c r="HI2" s="422"/>
      <c r="HJ2" s="423"/>
      <c r="HK2" s="105"/>
      <c r="HO2" s="931"/>
      <c r="HR2" s="420"/>
      <c r="HS2" s="421"/>
      <c r="HT2" s="421"/>
      <c r="HU2" s="421"/>
      <c r="HV2" s="422"/>
      <c r="HW2" s="422"/>
      <c r="HX2" s="423"/>
      <c r="HY2" s="105"/>
      <c r="IC2" s="931"/>
      <c r="IF2" s="420"/>
      <c r="IG2" s="421"/>
      <c r="IH2" s="421"/>
      <c r="II2" s="421"/>
      <c r="IJ2" s="422"/>
      <c r="IK2" s="422"/>
      <c r="IL2" s="423"/>
      <c r="IM2" s="105"/>
      <c r="IQ2" s="931"/>
      <c r="IT2" s="420"/>
      <c r="IU2" s="421"/>
      <c r="IV2" s="421"/>
      <c r="IW2" s="421"/>
      <c r="IX2" s="422"/>
      <c r="IY2" s="422"/>
      <c r="IZ2" s="423"/>
      <c r="JA2" s="105"/>
      <c r="JE2" s="931"/>
      <c r="JH2" s="420"/>
      <c r="JI2" s="421"/>
      <c r="JJ2" s="421"/>
      <c r="JK2" s="421"/>
      <c r="JL2" s="422"/>
      <c r="JM2" s="422"/>
      <c r="JN2" s="423"/>
      <c r="JO2" s="105"/>
      <c r="JS2" s="931"/>
      <c r="JV2" s="420"/>
      <c r="JW2" s="421"/>
      <c r="JX2" s="421"/>
      <c r="JY2" s="421"/>
      <c r="JZ2" s="422"/>
      <c r="KA2" s="422"/>
      <c r="KB2" s="423"/>
      <c r="KC2" s="105"/>
      <c r="KG2" s="931"/>
      <c r="KJ2" s="420"/>
      <c r="KK2" s="421"/>
      <c r="KL2" s="421"/>
      <c r="KM2" s="421"/>
      <c r="KN2" s="422"/>
      <c r="KO2" s="422"/>
      <c r="KP2" s="423"/>
      <c r="KQ2" s="105"/>
      <c r="KU2" s="931"/>
      <c r="KX2" s="420"/>
      <c r="KY2" s="421"/>
      <c r="KZ2" s="421"/>
      <c r="LA2" s="421"/>
      <c r="LB2" s="422"/>
      <c r="LC2" s="422"/>
      <c r="LD2" s="423"/>
      <c r="LE2" s="105"/>
      <c r="LI2" s="931"/>
      <c r="LL2" s="420"/>
      <c r="LM2" s="421"/>
      <c r="LN2" s="421"/>
      <c r="LO2" s="421"/>
      <c r="LP2" s="422"/>
      <c r="LQ2" s="422"/>
      <c r="LR2" s="423"/>
      <c r="LS2" s="105"/>
      <c r="LW2" s="931"/>
      <c r="LZ2" s="420"/>
      <c r="MA2" s="421"/>
      <c r="MB2" s="421"/>
      <c r="MC2" s="421"/>
      <c r="MD2" s="422"/>
      <c r="ME2" s="422"/>
      <c r="MF2" s="423"/>
      <c r="MG2" s="105"/>
      <c r="MK2" s="931"/>
      <c r="MN2" s="420"/>
      <c r="MO2" s="421"/>
      <c r="MP2" s="421"/>
      <c r="MQ2" s="421"/>
      <c r="MR2" s="422"/>
      <c r="MS2" s="422"/>
      <c r="MT2" s="423"/>
      <c r="MU2" s="105"/>
      <c r="MY2" s="931"/>
      <c r="NB2" s="420"/>
      <c r="NC2" s="421"/>
      <c r="ND2" s="421"/>
      <c r="NE2" s="421"/>
      <c r="NF2" s="422"/>
      <c r="NG2" s="422"/>
      <c r="NH2" s="423"/>
      <c r="NI2" s="105"/>
      <c r="NM2" s="931"/>
      <c r="NP2" s="420"/>
      <c r="NQ2" s="421"/>
      <c r="NR2" s="421"/>
      <c r="NS2" s="421"/>
      <c r="NT2" s="422"/>
      <c r="NU2" s="422"/>
      <c r="NV2" s="423"/>
      <c r="NW2" s="105"/>
      <c r="OA2" s="931"/>
      <c r="OD2" s="420"/>
      <c r="OE2" s="421"/>
      <c r="OF2" s="421"/>
      <c r="OG2" s="421"/>
      <c r="OH2" s="422"/>
      <c r="OI2" s="422"/>
      <c r="OJ2" s="423"/>
      <c r="OK2" s="105"/>
      <c r="OO2" s="931"/>
      <c r="OR2" s="420"/>
      <c r="OS2" s="421"/>
      <c r="OT2" s="421"/>
      <c r="OU2" s="421"/>
      <c r="OV2" s="422"/>
      <c r="OW2" s="422"/>
      <c r="OX2" s="423"/>
      <c r="OY2" s="105"/>
      <c r="PC2" s="931"/>
      <c r="PF2" s="420"/>
      <c r="PG2" s="421"/>
      <c r="PH2" s="421"/>
      <c r="PI2" s="421"/>
      <c r="PJ2" s="422"/>
      <c r="PK2" s="422"/>
      <c r="PL2" s="423"/>
      <c r="PM2" s="105"/>
      <c r="PQ2" s="931"/>
      <c r="PT2" s="420"/>
      <c r="PU2" s="421"/>
      <c r="PV2" s="421"/>
      <c r="PW2" s="421"/>
      <c r="PX2" s="422"/>
      <c r="PY2" s="422"/>
      <c r="PZ2" s="423"/>
      <c r="QA2" s="105"/>
      <c r="QE2" s="931"/>
      <c r="QH2" s="420"/>
      <c r="QI2" s="421"/>
      <c r="QJ2" s="421"/>
      <c r="QK2" s="421"/>
      <c r="QL2" s="422"/>
      <c r="QM2" s="422"/>
      <c r="QN2" s="423"/>
      <c r="QO2" s="105"/>
      <c r="QS2" s="931"/>
      <c r="QV2" s="420"/>
      <c r="QW2" s="421"/>
      <c r="QX2" s="421"/>
      <c r="QY2" s="421"/>
      <c r="QZ2" s="422"/>
      <c r="RA2" s="422"/>
      <c r="RB2" s="423"/>
      <c r="RC2" s="105"/>
      <c r="RG2" s="931"/>
      <c r="RJ2" s="420"/>
      <c r="RK2" s="421"/>
      <c r="RL2" s="421"/>
      <c r="RM2" s="421"/>
      <c r="RN2" s="422"/>
      <c r="RO2" s="422"/>
      <c r="RP2" s="423"/>
      <c r="RQ2" s="105"/>
      <c r="RU2" s="931"/>
      <c r="RX2" s="420"/>
      <c r="RY2" s="421"/>
      <c r="RZ2" s="421"/>
      <c r="SA2" s="421"/>
      <c r="SB2" s="422"/>
      <c r="SC2" s="422"/>
      <c r="SD2" s="423"/>
      <c r="SE2" s="105"/>
      <c r="SI2" s="931"/>
      <c r="SL2" s="420"/>
      <c r="SM2" s="421"/>
      <c r="SN2" s="421"/>
      <c r="SO2" s="421"/>
      <c r="SP2" s="422"/>
      <c r="SQ2" s="422"/>
      <c r="SR2" s="423"/>
      <c r="SS2" s="105"/>
      <c r="SW2" s="931"/>
      <c r="SZ2" s="420"/>
      <c r="TA2" s="421"/>
      <c r="TB2" s="421"/>
      <c r="TC2" s="421"/>
      <c r="TD2" s="422"/>
      <c r="TE2" s="422"/>
      <c r="TF2" s="423"/>
      <c r="TG2" s="105"/>
      <c r="TK2" s="931"/>
    </row>
    <row r="3" spans="1:531" s="104" customFormat="1" ht="15.75" customHeight="1">
      <c r="B3" s="424"/>
      <c r="C3" s="106"/>
      <c r="D3" s="106"/>
      <c r="E3" s="106"/>
      <c r="F3" s="107"/>
      <c r="G3" s="107"/>
      <c r="H3" s="425"/>
      <c r="I3" s="105"/>
      <c r="M3" s="931"/>
      <c r="P3" s="424"/>
      <c r="Q3" s="106"/>
      <c r="R3" s="106"/>
      <c r="S3" s="106"/>
      <c r="T3" s="107"/>
      <c r="U3" s="107"/>
      <c r="V3" s="425"/>
      <c r="W3" s="105"/>
      <c r="AA3" s="931"/>
      <c r="AD3" s="424"/>
      <c r="AE3" s="106"/>
      <c r="AF3" s="106"/>
      <c r="AG3" s="106"/>
      <c r="AH3" s="107"/>
      <c r="AI3" s="107"/>
      <c r="AJ3" s="425"/>
      <c r="AK3" s="105"/>
      <c r="AO3" s="931"/>
      <c r="AR3" s="424"/>
      <c r="AS3" s="106"/>
      <c r="AT3" s="106"/>
      <c r="AU3" s="106"/>
      <c r="AV3" s="107"/>
      <c r="AW3" s="107"/>
      <c r="AX3" s="425"/>
      <c r="AY3" s="105"/>
      <c r="BC3" s="931"/>
      <c r="BF3" s="424"/>
      <c r="BG3" s="106"/>
      <c r="BH3" s="106"/>
      <c r="BI3" s="106"/>
      <c r="BJ3" s="107"/>
      <c r="BK3" s="107"/>
      <c r="BL3" s="425"/>
      <c r="BM3" s="105"/>
      <c r="BQ3" s="931"/>
      <c r="BT3" s="424"/>
      <c r="BU3" s="106"/>
      <c r="BV3" s="106"/>
      <c r="BW3" s="106"/>
      <c r="BX3" s="107"/>
      <c r="BY3" s="107"/>
      <c r="BZ3" s="425"/>
      <c r="CA3" s="105"/>
      <c r="CE3" s="931"/>
      <c r="CH3" s="424"/>
      <c r="CI3" s="106"/>
      <c r="CJ3" s="106"/>
      <c r="CK3" s="106"/>
      <c r="CL3" s="107"/>
      <c r="CM3" s="107"/>
      <c r="CN3" s="425"/>
      <c r="CO3" s="105"/>
      <c r="CS3" s="931"/>
      <c r="CV3" s="424"/>
      <c r="CW3" s="106"/>
      <c r="CX3" s="106"/>
      <c r="CY3" s="106"/>
      <c r="CZ3" s="107"/>
      <c r="DA3" s="107"/>
      <c r="DB3" s="425"/>
      <c r="DC3" s="105"/>
      <c r="DG3" s="931"/>
      <c r="DJ3" s="424"/>
      <c r="DK3" s="106"/>
      <c r="DL3" s="106"/>
      <c r="DM3" s="106"/>
      <c r="DN3" s="107"/>
      <c r="DO3" s="107"/>
      <c r="DP3" s="425"/>
      <c r="DQ3" s="105"/>
      <c r="DU3" s="931"/>
      <c r="DX3" s="424"/>
      <c r="DY3" s="106"/>
      <c r="DZ3" s="106"/>
      <c r="EA3" s="106"/>
      <c r="EB3" s="107"/>
      <c r="EC3" s="107"/>
      <c r="ED3" s="425"/>
      <c r="EE3" s="105"/>
      <c r="EI3" s="931"/>
      <c r="EL3" s="424"/>
      <c r="EM3" s="106"/>
      <c r="EN3" s="106"/>
      <c r="EO3" s="106"/>
      <c r="EP3" s="107"/>
      <c r="EQ3" s="107"/>
      <c r="ER3" s="425"/>
      <c r="ES3" s="105"/>
      <c r="EW3" s="931"/>
      <c r="EZ3" s="424"/>
      <c r="FA3" s="106"/>
      <c r="FB3" s="106"/>
      <c r="FC3" s="106"/>
      <c r="FD3" s="107"/>
      <c r="FE3" s="107"/>
      <c r="FF3" s="425"/>
      <c r="FG3" s="105"/>
      <c r="FK3" s="931"/>
      <c r="FN3" s="424"/>
      <c r="FO3" s="106"/>
      <c r="FP3" s="106"/>
      <c r="FQ3" s="106"/>
      <c r="FR3" s="107"/>
      <c r="FS3" s="107"/>
      <c r="FT3" s="425"/>
      <c r="FU3" s="105"/>
      <c r="FY3" s="931"/>
      <c r="GB3" s="424"/>
      <c r="GC3" s="106"/>
      <c r="GD3" s="106"/>
      <c r="GE3" s="106"/>
      <c r="GF3" s="107"/>
      <c r="GG3" s="107"/>
      <c r="GH3" s="425"/>
      <c r="GI3" s="105"/>
      <c r="GM3" s="931"/>
      <c r="GP3" s="424"/>
      <c r="GQ3" s="106"/>
      <c r="GR3" s="106"/>
      <c r="GS3" s="106"/>
      <c r="GT3" s="107"/>
      <c r="GU3" s="107"/>
      <c r="GV3" s="425"/>
      <c r="GW3" s="105"/>
      <c r="HA3" s="931"/>
      <c r="HD3" s="424"/>
      <c r="HE3" s="106"/>
      <c r="HF3" s="106"/>
      <c r="HG3" s="106"/>
      <c r="HH3" s="107"/>
      <c r="HI3" s="107"/>
      <c r="HJ3" s="425"/>
      <c r="HK3" s="105"/>
      <c r="HO3" s="931"/>
      <c r="HR3" s="424"/>
      <c r="HS3" s="106"/>
      <c r="HT3" s="106"/>
      <c r="HU3" s="106"/>
      <c r="HV3" s="107"/>
      <c r="HW3" s="107"/>
      <c r="HX3" s="425"/>
      <c r="HY3" s="105"/>
      <c r="IC3" s="931"/>
      <c r="IF3" s="424"/>
      <c r="IG3" s="106"/>
      <c r="IH3" s="106"/>
      <c r="II3" s="106"/>
      <c r="IJ3" s="107"/>
      <c r="IK3" s="107"/>
      <c r="IL3" s="425"/>
      <c r="IM3" s="105"/>
      <c r="IQ3" s="931"/>
      <c r="IT3" s="424"/>
      <c r="IU3" s="106"/>
      <c r="IV3" s="106"/>
      <c r="IW3" s="106"/>
      <c r="IX3" s="107"/>
      <c r="IY3" s="107"/>
      <c r="IZ3" s="425"/>
      <c r="JA3" s="105"/>
      <c r="JE3" s="931"/>
      <c r="JH3" s="424"/>
      <c r="JI3" s="106"/>
      <c r="JJ3" s="106"/>
      <c r="JK3" s="106"/>
      <c r="JL3" s="107"/>
      <c r="JM3" s="107"/>
      <c r="JN3" s="425"/>
      <c r="JO3" s="105"/>
      <c r="JS3" s="931"/>
      <c r="JV3" s="424"/>
      <c r="JW3" s="106"/>
      <c r="JX3" s="106"/>
      <c r="JY3" s="106"/>
      <c r="JZ3" s="107"/>
      <c r="KA3" s="107"/>
      <c r="KB3" s="425"/>
      <c r="KC3" s="105"/>
      <c r="KG3" s="931"/>
      <c r="KJ3" s="424"/>
      <c r="KK3" s="106"/>
      <c r="KL3" s="106"/>
      <c r="KM3" s="106"/>
      <c r="KN3" s="107"/>
      <c r="KO3" s="107"/>
      <c r="KP3" s="425"/>
      <c r="KQ3" s="105"/>
      <c r="KU3" s="931"/>
      <c r="KX3" s="424"/>
      <c r="KY3" s="106"/>
      <c r="KZ3" s="106"/>
      <c r="LA3" s="106"/>
      <c r="LB3" s="107"/>
      <c r="LC3" s="107"/>
      <c r="LD3" s="425"/>
      <c r="LE3" s="105"/>
      <c r="LI3" s="931"/>
      <c r="LL3" s="424"/>
      <c r="LM3" s="106"/>
      <c r="LN3" s="106"/>
      <c r="LO3" s="106"/>
      <c r="LP3" s="107"/>
      <c r="LQ3" s="107"/>
      <c r="LR3" s="425"/>
      <c r="LS3" s="105"/>
      <c r="LW3" s="931"/>
      <c r="LZ3" s="424"/>
      <c r="MA3" s="106"/>
      <c r="MB3" s="106"/>
      <c r="MC3" s="106"/>
      <c r="MD3" s="107"/>
      <c r="ME3" s="107"/>
      <c r="MF3" s="425"/>
      <c r="MG3" s="105"/>
      <c r="MK3" s="931"/>
      <c r="MN3" s="424"/>
      <c r="MO3" s="106"/>
      <c r="MP3" s="106"/>
      <c r="MQ3" s="106"/>
      <c r="MR3" s="107"/>
      <c r="MS3" s="107"/>
      <c r="MT3" s="425"/>
      <c r="MU3" s="105"/>
      <c r="MY3" s="931"/>
      <c r="NB3" s="424"/>
      <c r="NC3" s="106"/>
      <c r="ND3" s="106"/>
      <c r="NE3" s="106"/>
      <c r="NF3" s="107"/>
      <c r="NG3" s="107"/>
      <c r="NH3" s="425"/>
      <c r="NI3" s="105"/>
      <c r="NM3" s="931"/>
      <c r="NP3" s="424"/>
      <c r="NQ3" s="106"/>
      <c r="NR3" s="106"/>
      <c r="NS3" s="106"/>
      <c r="NT3" s="107"/>
      <c r="NU3" s="107"/>
      <c r="NV3" s="425"/>
      <c r="NW3" s="105"/>
      <c r="OA3" s="931"/>
      <c r="OD3" s="424"/>
      <c r="OE3" s="106"/>
      <c r="OF3" s="106"/>
      <c r="OG3" s="106"/>
      <c r="OH3" s="107"/>
      <c r="OI3" s="107"/>
      <c r="OJ3" s="425"/>
      <c r="OK3" s="105"/>
      <c r="OO3" s="931"/>
      <c r="OR3" s="424"/>
      <c r="OS3" s="106"/>
      <c r="OT3" s="106"/>
      <c r="OU3" s="106"/>
      <c r="OV3" s="107"/>
      <c r="OW3" s="107"/>
      <c r="OX3" s="425"/>
      <c r="OY3" s="105"/>
      <c r="PC3" s="931"/>
      <c r="PF3" s="424"/>
      <c r="PG3" s="106"/>
      <c r="PH3" s="106"/>
      <c r="PI3" s="106"/>
      <c r="PJ3" s="107"/>
      <c r="PK3" s="107"/>
      <c r="PL3" s="425"/>
      <c r="PM3" s="105"/>
      <c r="PQ3" s="931"/>
      <c r="PT3" s="424"/>
      <c r="PU3" s="106"/>
      <c r="PV3" s="106"/>
      <c r="PW3" s="106"/>
      <c r="PX3" s="107"/>
      <c r="PY3" s="107"/>
      <c r="PZ3" s="425"/>
      <c r="QA3" s="105"/>
      <c r="QE3" s="931"/>
      <c r="QH3" s="424"/>
      <c r="QI3" s="106"/>
      <c r="QJ3" s="106"/>
      <c r="QK3" s="106"/>
      <c r="QL3" s="107"/>
      <c r="QM3" s="107"/>
      <c r="QN3" s="425"/>
      <c r="QO3" s="105"/>
      <c r="QS3" s="931"/>
      <c r="QV3" s="424"/>
      <c r="QW3" s="106"/>
      <c r="QX3" s="106"/>
      <c r="QY3" s="106"/>
      <c r="QZ3" s="107"/>
      <c r="RA3" s="107"/>
      <c r="RB3" s="425"/>
      <c r="RC3" s="105"/>
      <c r="RG3" s="931"/>
      <c r="RJ3" s="424"/>
      <c r="RK3" s="106"/>
      <c r="RL3" s="106"/>
      <c r="RM3" s="106"/>
      <c r="RN3" s="107"/>
      <c r="RO3" s="107"/>
      <c r="RP3" s="425"/>
      <c r="RQ3" s="105"/>
      <c r="RU3" s="931"/>
      <c r="RX3" s="424"/>
      <c r="RY3" s="106"/>
      <c r="RZ3" s="106"/>
      <c r="SA3" s="106"/>
      <c r="SB3" s="107"/>
      <c r="SC3" s="107"/>
      <c r="SD3" s="425"/>
      <c r="SE3" s="105"/>
      <c r="SI3" s="931"/>
      <c r="SL3" s="424"/>
      <c r="SM3" s="106"/>
      <c r="SN3" s="106"/>
      <c r="SO3" s="106"/>
      <c r="SP3" s="107"/>
      <c r="SQ3" s="107"/>
      <c r="SR3" s="425"/>
      <c r="SS3" s="105"/>
      <c r="SW3" s="931"/>
      <c r="SZ3" s="424"/>
      <c r="TA3" s="106"/>
      <c r="TB3" s="106"/>
      <c r="TC3" s="106"/>
      <c r="TD3" s="107"/>
      <c r="TE3" s="107"/>
      <c r="TF3" s="425"/>
      <c r="TG3" s="105"/>
      <c r="TK3" s="931"/>
    </row>
    <row r="4" spans="1:531" s="104" customFormat="1" ht="15.75" customHeight="1">
      <c r="B4" s="424"/>
      <c r="C4" s="106"/>
      <c r="D4" s="106"/>
      <c r="E4" s="106"/>
      <c r="F4" s="107"/>
      <c r="G4" s="107"/>
      <c r="H4" s="425"/>
      <c r="I4" s="105"/>
      <c r="M4" s="931"/>
      <c r="P4" s="424"/>
      <c r="Q4" s="106"/>
      <c r="R4" s="106"/>
      <c r="S4" s="106"/>
      <c r="T4" s="107"/>
      <c r="U4" s="107"/>
      <c r="V4" s="425"/>
      <c r="W4" s="105"/>
      <c r="AA4" s="931"/>
      <c r="AD4" s="424"/>
      <c r="AE4" s="106"/>
      <c r="AF4" s="106"/>
      <c r="AG4" s="106"/>
      <c r="AH4" s="107"/>
      <c r="AI4" s="107"/>
      <c r="AJ4" s="425"/>
      <c r="AK4" s="105"/>
      <c r="AO4" s="931"/>
      <c r="AR4" s="424"/>
      <c r="AS4" s="106"/>
      <c r="AT4" s="106"/>
      <c r="AU4" s="106"/>
      <c r="AV4" s="107"/>
      <c r="AW4" s="107"/>
      <c r="AX4" s="425"/>
      <c r="AY4" s="105"/>
      <c r="BC4" s="931"/>
      <c r="BF4" s="424"/>
      <c r="BG4" s="106"/>
      <c r="BH4" s="106"/>
      <c r="BI4" s="106"/>
      <c r="BJ4" s="107"/>
      <c r="BK4" s="107"/>
      <c r="BL4" s="425"/>
      <c r="BM4" s="105"/>
      <c r="BQ4" s="931"/>
      <c r="BT4" s="424"/>
      <c r="BU4" s="106"/>
      <c r="BV4" s="106"/>
      <c r="BW4" s="106"/>
      <c r="BX4" s="107"/>
      <c r="BY4" s="107"/>
      <c r="BZ4" s="425"/>
      <c r="CA4" s="105"/>
      <c r="CE4" s="931"/>
      <c r="CH4" s="424"/>
      <c r="CI4" s="106"/>
      <c r="CJ4" s="106"/>
      <c r="CK4" s="106"/>
      <c r="CL4" s="107"/>
      <c r="CM4" s="107"/>
      <c r="CN4" s="425"/>
      <c r="CO4" s="105"/>
      <c r="CS4" s="931"/>
      <c r="CV4" s="424"/>
      <c r="CW4" s="106"/>
      <c r="CX4" s="106"/>
      <c r="CY4" s="106"/>
      <c r="CZ4" s="107"/>
      <c r="DA4" s="107"/>
      <c r="DB4" s="425"/>
      <c r="DC4" s="105"/>
      <c r="DG4" s="931"/>
      <c r="DJ4" s="424"/>
      <c r="DK4" s="106"/>
      <c r="DL4" s="106"/>
      <c r="DM4" s="106"/>
      <c r="DN4" s="107"/>
      <c r="DO4" s="107"/>
      <c r="DP4" s="425"/>
      <c r="DQ4" s="105"/>
      <c r="DU4" s="931"/>
      <c r="DX4" s="424"/>
      <c r="DY4" s="106"/>
      <c r="DZ4" s="106"/>
      <c r="EA4" s="106"/>
      <c r="EB4" s="107"/>
      <c r="EC4" s="107"/>
      <c r="ED4" s="425"/>
      <c r="EE4" s="105"/>
      <c r="EI4" s="931"/>
      <c r="EL4" s="424"/>
      <c r="EM4" s="106"/>
      <c r="EN4" s="106"/>
      <c r="EO4" s="106"/>
      <c r="EP4" s="107"/>
      <c r="EQ4" s="107"/>
      <c r="ER4" s="425"/>
      <c r="ES4" s="105"/>
      <c r="EW4" s="931"/>
      <c r="EZ4" s="424"/>
      <c r="FA4" s="106"/>
      <c r="FB4" s="106"/>
      <c r="FC4" s="106"/>
      <c r="FD4" s="107"/>
      <c r="FE4" s="107"/>
      <c r="FF4" s="425"/>
      <c r="FG4" s="105"/>
      <c r="FK4" s="931"/>
      <c r="FN4" s="424"/>
      <c r="FO4" s="106"/>
      <c r="FP4" s="106"/>
      <c r="FQ4" s="106"/>
      <c r="FR4" s="107"/>
      <c r="FS4" s="107"/>
      <c r="FT4" s="425"/>
      <c r="FU4" s="105"/>
      <c r="FY4" s="931"/>
      <c r="GB4" s="424"/>
      <c r="GC4" s="106"/>
      <c r="GD4" s="106"/>
      <c r="GE4" s="106"/>
      <c r="GF4" s="107"/>
      <c r="GG4" s="107"/>
      <c r="GH4" s="425"/>
      <c r="GI4" s="105"/>
      <c r="GM4" s="931"/>
      <c r="GP4" s="424"/>
      <c r="GQ4" s="106"/>
      <c r="GR4" s="106"/>
      <c r="GS4" s="106"/>
      <c r="GT4" s="107"/>
      <c r="GU4" s="107"/>
      <c r="GV4" s="425"/>
      <c r="GW4" s="105"/>
      <c r="HA4" s="931"/>
      <c r="HD4" s="424"/>
      <c r="HE4" s="106"/>
      <c r="HF4" s="106"/>
      <c r="HG4" s="106"/>
      <c r="HH4" s="107"/>
      <c r="HI4" s="107"/>
      <c r="HJ4" s="425"/>
      <c r="HK4" s="105"/>
      <c r="HO4" s="931"/>
      <c r="HR4" s="424"/>
      <c r="HS4" s="106"/>
      <c r="HT4" s="106"/>
      <c r="HU4" s="106"/>
      <c r="HV4" s="107"/>
      <c r="HW4" s="107"/>
      <c r="HX4" s="425"/>
      <c r="HY4" s="105"/>
      <c r="IC4" s="931"/>
      <c r="IF4" s="424"/>
      <c r="IG4" s="106"/>
      <c r="IH4" s="106"/>
      <c r="II4" s="106"/>
      <c r="IJ4" s="107"/>
      <c r="IK4" s="107"/>
      <c r="IL4" s="425"/>
      <c r="IM4" s="105"/>
      <c r="IQ4" s="931"/>
      <c r="IT4" s="424"/>
      <c r="IU4" s="106"/>
      <c r="IV4" s="106"/>
      <c r="IW4" s="106"/>
      <c r="IX4" s="107"/>
      <c r="IY4" s="107"/>
      <c r="IZ4" s="425"/>
      <c r="JA4" s="105"/>
      <c r="JE4" s="931"/>
      <c r="JH4" s="424"/>
      <c r="JI4" s="106"/>
      <c r="JJ4" s="106"/>
      <c r="JK4" s="106"/>
      <c r="JL4" s="107"/>
      <c r="JM4" s="107"/>
      <c r="JN4" s="425"/>
      <c r="JO4" s="105"/>
      <c r="JS4" s="931"/>
      <c r="JV4" s="424"/>
      <c r="JW4" s="106"/>
      <c r="JX4" s="106"/>
      <c r="JY4" s="106"/>
      <c r="JZ4" s="107"/>
      <c r="KA4" s="107"/>
      <c r="KB4" s="425"/>
      <c r="KC4" s="105"/>
      <c r="KG4" s="931"/>
      <c r="KJ4" s="424"/>
      <c r="KK4" s="106"/>
      <c r="KL4" s="106"/>
      <c r="KM4" s="106"/>
      <c r="KN4" s="107"/>
      <c r="KO4" s="107"/>
      <c r="KP4" s="425"/>
      <c r="KQ4" s="105"/>
      <c r="KU4" s="931"/>
      <c r="KX4" s="424"/>
      <c r="KY4" s="106"/>
      <c r="KZ4" s="106"/>
      <c r="LA4" s="106"/>
      <c r="LB4" s="107"/>
      <c r="LC4" s="107"/>
      <c r="LD4" s="425"/>
      <c r="LE4" s="105"/>
      <c r="LI4" s="931"/>
      <c r="LL4" s="424"/>
      <c r="LM4" s="106"/>
      <c r="LN4" s="106"/>
      <c r="LO4" s="106"/>
      <c r="LP4" s="107"/>
      <c r="LQ4" s="107"/>
      <c r="LR4" s="425"/>
      <c r="LS4" s="105"/>
      <c r="LW4" s="931"/>
      <c r="LZ4" s="424"/>
      <c r="MA4" s="106"/>
      <c r="MB4" s="106"/>
      <c r="MC4" s="106"/>
      <c r="MD4" s="107"/>
      <c r="ME4" s="107"/>
      <c r="MF4" s="425"/>
      <c r="MG4" s="105"/>
      <c r="MK4" s="931"/>
      <c r="MN4" s="424"/>
      <c r="MO4" s="106"/>
      <c r="MP4" s="106"/>
      <c r="MQ4" s="106"/>
      <c r="MR4" s="107"/>
      <c r="MS4" s="107"/>
      <c r="MT4" s="425"/>
      <c r="MU4" s="105"/>
      <c r="MY4" s="931"/>
      <c r="NB4" s="424"/>
      <c r="NC4" s="106"/>
      <c r="ND4" s="106"/>
      <c r="NE4" s="106"/>
      <c r="NF4" s="107"/>
      <c r="NG4" s="107"/>
      <c r="NH4" s="425"/>
      <c r="NI4" s="105"/>
      <c r="NM4" s="931"/>
      <c r="NP4" s="424"/>
      <c r="NQ4" s="106"/>
      <c r="NR4" s="106"/>
      <c r="NS4" s="106"/>
      <c r="NT4" s="107"/>
      <c r="NU4" s="107"/>
      <c r="NV4" s="425"/>
      <c r="NW4" s="105"/>
      <c r="OA4" s="931"/>
      <c r="OD4" s="424"/>
      <c r="OE4" s="106"/>
      <c r="OF4" s="106"/>
      <c r="OG4" s="106"/>
      <c r="OH4" s="107"/>
      <c r="OI4" s="107"/>
      <c r="OJ4" s="425"/>
      <c r="OK4" s="105"/>
      <c r="OO4" s="931"/>
      <c r="OR4" s="424"/>
      <c r="OS4" s="106"/>
      <c r="OT4" s="106"/>
      <c r="OU4" s="106"/>
      <c r="OV4" s="107"/>
      <c r="OW4" s="107"/>
      <c r="OX4" s="425"/>
      <c r="OY4" s="105"/>
      <c r="PC4" s="931"/>
      <c r="PF4" s="424"/>
      <c r="PG4" s="106"/>
      <c r="PH4" s="106"/>
      <c r="PI4" s="106"/>
      <c r="PJ4" s="107"/>
      <c r="PK4" s="107"/>
      <c r="PL4" s="425"/>
      <c r="PM4" s="105"/>
      <c r="PQ4" s="931"/>
      <c r="PT4" s="424"/>
      <c r="PU4" s="106"/>
      <c r="PV4" s="106"/>
      <c r="PW4" s="106"/>
      <c r="PX4" s="107"/>
      <c r="PY4" s="107"/>
      <c r="PZ4" s="425"/>
      <c r="QA4" s="105"/>
      <c r="QE4" s="931"/>
      <c r="QH4" s="424"/>
      <c r="QI4" s="106"/>
      <c r="QJ4" s="106"/>
      <c r="QK4" s="106"/>
      <c r="QL4" s="107"/>
      <c r="QM4" s="107"/>
      <c r="QN4" s="425"/>
      <c r="QO4" s="105"/>
      <c r="QS4" s="931"/>
      <c r="QV4" s="424"/>
      <c r="QW4" s="106"/>
      <c r="QX4" s="106"/>
      <c r="QY4" s="106"/>
      <c r="QZ4" s="107"/>
      <c r="RA4" s="107"/>
      <c r="RB4" s="425"/>
      <c r="RC4" s="105"/>
      <c r="RG4" s="931"/>
      <c r="RJ4" s="424"/>
      <c r="RK4" s="106"/>
      <c r="RL4" s="106"/>
      <c r="RM4" s="106"/>
      <c r="RN4" s="107"/>
      <c r="RO4" s="107"/>
      <c r="RP4" s="425"/>
      <c r="RQ4" s="105"/>
      <c r="RU4" s="931"/>
      <c r="RX4" s="424"/>
      <c r="RY4" s="106"/>
      <c r="RZ4" s="106"/>
      <c r="SA4" s="106"/>
      <c r="SB4" s="107"/>
      <c r="SC4" s="107"/>
      <c r="SD4" s="425"/>
      <c r="SE4" s="105"/>
      <c r="SI4" s="931"/>
      <c r="SL4" s="424"/>
      <c r="SM4" s="106"/>
      <c r="SN4" s="106"/>
      <c r="SO4" s="106"/>
      <c r="SP4" s="107"/>
      <c r="SQ4" s="107"/>
      <c r="SR4" s="425"/>
      <c r="SS4" s="105"/>
      <c r="SW4" s="931"/>
      <c r="SZ4" s="424"/>
      <c r="TA4" s="106"/>
      <c r="TB4" s="106"/>
      <c r="TC4" s="106"/>
      <c r="TD4" s="107"/>
      <c r="TE4" s="107"/>
      <c r="TF4" s="425"/>
      <c r="TG4" s="105"/>
      <c r="TK4" s="931"/>
    </row>
    <row r="5" spans="1:531" s="104" customFormat="1" ht="15.75" customHeight="1">
      <c r="B5" s="424"/>
      <c r="C5" s="106"/>
      <c r="D5" s="106"/>
      <c r="E5" s="106"/>
      <c r="H5" s="426"/>
      <c r="I5" s="105"/>
      <c r="M5" s="931"/>
      <c r="P5" s="424"/>
      <c r="Q5" s="106"/>
      <c r="R5" s="106"/>
      <c r="S5" s="106"/>
      <c r="V5" s="426"/>
      <c r="W5" s="105"/>
      <c r="AA5" s="931"/>
      <c r="AD5" s="424"/>
      <c r="AE5" s="106"/>
      <c r="AF5" s="106"/>
      <c r="AG5" s="106"/>
      <c r="AJ5" s="426"/>
      <c r="AK5" s="105"/>
      <c r="AO5" s="931"/>
      <c r="AR5" s="424"/>
      <c r="AS5" s="106"/>
      <c r="AT5" s="106"/>
      <c r="AU5" s="106"/>
      <c r="AX5" s="426"/>
      <c r="AY5" s="105"/>
      <c r="BC5" s="931"/>
      <c r="BF5" s="424"/>
      <c r="BG5" s="106"/>
      <c r="BH5" s="106"/>
      <c r="BI5" s="106"/>
      <c r="BL5" s="426"/>
      <c r="BM5" s="105"/>
      <c r="BQ5" s="931"/>
      <c r="BT5" s="424"/>
      <c r="BU5" s="106"/>
      <c r="BV5" s="106"/>
      <c r="BW5" s="106"/>
      <c r="BZ5" s="426"/>
      <c r="CA5" s="105"/>
      <c r="CE5" s="931"/>
      <c r="CH5" s="424"/>
      <c r="CI5" s="106"/>
      <c r="CJ5" s="106"/>
      <c r="CK5" s="106"/>
      <c r="CN5" s="426"/>
      <c r="CO5" s="105"/>
      <c r="CS5" s="931"/>
      <c r="CV5" s="424"/>
      <c r="CW5" s="106"/>
      <c r="CX5" s="106"/>
      <c r="CY5" s="106"/>
      <c r="DB5" s="426"/>
      <c r="DC5" s="105"/>
      <c r="DG5" s="931"/>
      <c r="DJ5" s="424"/>
      <c r="DK5" s="106"/>
      <c r="DL5" s="106"/>
      <c r="DM5" s="106"/>
      <c r="DP5" s="426"/>
      <c r="DQ5" s="105"/>
      <c r="DU5" s="931"/>
      <c r="DX5" s="424"/>
      <c r="DY5" s="106"/>
      <c r="DZ5" s="106"/>
      <c r="EA5" s="106"/>
      <c r="ED5" s="426"/>
      <c r="EE5" s="105"/>
      <c r="EI5" s="931"/>
      <c r="EL5" s="424"/>
      <c r="EM5" s="106"/>
      <c r="EN5" s="106"/>
      <c r="EO5" s="106"/>
      <c r="ER5" s="426"/>
      <c r="ES5" s="105"/>
      <c r="EW5" s="931"/>
      <c r="EZ5" s="424"/>
      <c r="FA5" s="106"/>
      <c r="FB5" s="106"/>
      <c r="FC5" s="106"/>
      <c r="FF5" s="426"/>
      <c r="FG5" s="105"/>
      <c r="FK5" s="931"/>
      <c r="FN5" s="424"/>
      <c r="FO5" s="106"/>
      <c r="FP5" s="106"/>
      <c r="FQ5" s="106"/>
      <c r="FT5" s="426"/>
      <c r="FU5" s="105"/>
      <c r="FY5" s="931"/>
      <c r="GB5" s="424"/>
      <c r="GC5" s="106"/>
      <c r="GD5" s="106"/>
      <c r="GE5" s="106"/>
      <c r="GH5" s="426"/>
      <c r="GI5" s="105"/>
      <c r="GM5" s="931"/>
      <c r="GP5" s="424"/>
      <c r="GQ5" s="106"/>
      <c r="GR5" s="106"/>
      <c r="GS5" s="106"/>
      <c r="GV5" s="426"/>
      <c r="GW5" s="105"/>
      <c r="HA5" s="931"/>
      <c r="HD5" s="424"/>
      <c r="HE5" s="106"/>
      <c r="HF5" s="106"/>
      <c r="HG5" s="106"/>
      <c r="HJ5" s="426"/>
      <c r="HK5" s="105"/>
      <c r="HO5" s="931"/>
      <c r="HR5" s="424"/>
      <c r="HS5" s="106"/>
      <c r="HT5" s="106"/>
      <c r="HU5" s="106"/>
      <c r="HX5" s="426"/>
      <c r="HY5" s="105"/>
      <c r="IC5" s="931"/>
      <c r="IF5" s="424"/>
      <c r="IG5" s="106"/>
      <c r="IH5" s="106"/>
      <c r="II5" s="106"/>
      <c r="IL5" s="426"/>
      <c r="IM5" s="105"/>
      <c r="IQ5" s="931"/>
      <c r="IT5" s="424"/>
      <c r="IU5" s="106"/>
      <c r="IV5" s="106"/>
      <c r="IW5" s="106"/>
      <c r="IZ5" s="426"/>
      <c r="JA5" s="105"/>
      <c r="JE5" s="931"/>
      <c r="JH5" s="424"/>
      <c r="JI5" s="106"/>
      <c r="JJ5" s="106"/>
      <c r="JK5" s="106"/>
      <c r="JN5" s="426"/>
      <c r="JO5" s="105"/>
      <c r="JS5" s="931"/>
      <c r="JV5" s="424"/>
      <c r="JW5" s="106"/>
      <c r="JX5" s="106"/>
      <c r="JY5" s="106"/>
      <c r="KB5" s="426"/>
      <c r="KC5" s="105"/>
      <c r="KG5" s="931"/>
      <c r="KJ5" s="424"/>
      <c r="KK5" s="106"/>
      <c r="KL5" s="106"/>
      <c r="KM5" s="106"/>
      <c r="KP5" s="426"/>
      <c r="KQ5" s="105"/>
      <c r="KU5" s="931"/>
      <c r="KX5" s="424"/>
      <c r="KY5" s="106"/>
      <c r="KZ5" s="106"/>
      <c r="LA5" s="106"/>
      <c r="LD5" s="426"/>
      <c r="LE5" s="105"/>
      <c r="LI5" s="931"/>
      <c r="LL5" s="424"/>
      <c r="LM5" s="106"/>
      <c r="LN5" s="106"/>
      <c r="LO5" s="106"/>
      <c r="LR5" s="426"/>
      <c r="LS5" s="105"/>
      <c r="LW5" s="931"/>
      <c r="LZ5" s="424"/>
      <c r="MA5" s="106"/>
      <c r="MB5" s="106"/>
      <c r="MC5" s="106"/>
      <c r="MF5" s="426"/>
      <c r="MG5" s="105"/>
      <c r="MK5" s="931"/>
      <c r="MN5" s="424"/>
      <c r="MO5" s="106"/>
      <c r="MP5" s="106"/>
      <c r="MQ5" s="106"/>
      <c r="MT5" s="426"/>
      <c r="MU5" s="105"/>
      <c r="MY5" s="931"/>
      <c r="NB5" s="424"/>
      <c r="NC5" s="106"/>
      <c r="ND5" s="106"/>
      <c r="NE5" s="106"/>
      <c r="NH5" s="426"/>
      <c r="NI5" s="105"/>
      <c r="NM5" s="931"/>
      <c r="NP5" s="424"/>
      <c r="NQ5" s="106"/>
      <c r="NR5" s="106"/>
      <c r="NS5" s="106"/>
      <c r="NV5" s="426"/>
      <c r="NW5" s="105"/>
      <c r="OA5" s="931"/>
      <c r="OD5" s="424"/>
      <c r="OE5" s="106"/>
      <c r="OF5" s="106"/>
      <c r="OG5" s="106"/>
      <c r="OJ5" s="426"/>
      <c r="OK5" s="105"/>
      <c r="OO5" s="931"/>
      <c r="OR5" s="424"/>
      <c r="OS5" s="106"/>
      <c r="OT5" s="106"/>
      <c r="OU5" s="106"/>
      <c r="OX5" s="426"/>
      <c r="OY5" s="105"/>
      <c r="PC5" s="931"/>
      <c r="PF5" s="424"/>
      <c r="PG5" s="106"/>
      <c r="PH5" s="106"/>
      <c r="PI5" s="106"/>
      <c r="PL5" s="426"/>
      <c r="PM5" s="105"/>
      <c r="PQ5" s="931"/>
      <c r="PT5" s="424"/>
      <c r="PU5" s="106"/>
      <c r="PV5" s="106"/>
      <c r="PW5" s="106"/>
      <c r="PZ5" s="426"/>
      <c r="QA5" s="105"/>
      <c r="QE5" s="931"/>
      <c r="QH5" s="424"/>
      <c r="QI5" s="106"/>
      <c r="QJ5" s="106"/>
      <c r="QK5" s="106"/>
      <c r="QN5" s="426"/>
      <c r="QO5" s="105"/>
      <c r="QS5" s="931"/>
      <c r="QV5" s="424"/>
      <c r="QW5" s="106"/>
      <c r="QX5" s="106"/>
      <c r="QY5" s="106"/>
      <c r="RB5" s="426"/>
      <c r="RC5" s="105"/>
      <c r="RG5" s="931"/>
      <c r="RJ5" s="424"/>
      <c r="RK5" s="106"/>
      <c r="RL5" s="106"/>
      <c r="RM5" s="106"/>
      <c r="RP5" s="426"/>
      <c r="RQ5" s="105"/>
      <c r="RU5" s="931"/>
      <c r="RX5" s="424"/>
      <c r="RY5" s="106"/>
      <c r="RZ5" s="106"/>
      <c r="SA5" s="106"/>
      <c r="SD5" s="426"/>
      <c r="SE5" s="105"/>
      <c r="SI5" s="931"/>
      <c r="SL5" s="424"/>
      <c r="SM5" s="106"/>
      <c r="SN5" s="106"/>
      <c r="SO5" s="106"/>
      <c r="SR5" s="426"/>
      <c r="SS5" s="105"/>
      <c r="SW5" s="931"/>
      <c r="SZ5" s="424"/>
      <c r="TA5" s="106"/>
      <c r="TB5" s="106"/>
      <c r="TC5" s="106"/>
      <c r="TF5" s="426"/>
      <c r="TG5" s="105"/>
      <c r="TK5" s="931"/>
    </row>
    <row r="6" spans="1:531" s="104" customFormat="1" ht="15.75" customHeight="1">
      <c r="B6" s="424"/>
      <c r="C6" s="106"/>
      <c r="D6" s="106"/>
      <c r="E6" s="106"/>
      <c r="H6" s="426"/>
      <c r="I6" s="105"/>
      <c r="M6" s="931"/>
      <c r="P6" s="424"/>
      <c r="Q6" s="106"/>
      <c r="R6" s="106"/>
      <c r="S6" s="106"/>
      <c r="V6" s="426"/>
      <c r="W6" s="105"/>
      <c r="AA6" s="931"/>
      <c r="AD6" s="424"/>
      <c r="AE6" s="106"/>
      <c r="AF6" s="106"/>
      <c r="AG6" s="106"/>
      <c r="AJ6" s="426"/>
      <c r="AK6" s="105"/>
      <c r="AO6" s="931"/>
      <c r="AR6" s="424"/>
      <c r="AS6" s="106"/>
      <c r="AT6" s="106"/>
      <c r="AU6" s="106"/>
      <c r="AX6" s="426"/>
      <c r="AY6" s="105"/>
      <c r="BC6" s="931"/>
      <c r="BF6" s="424"/>
      <c r="BG6" s="106"/>
      <c r="BH6" s="106"/>
      <c r="BI6" s="106"/>
      <c r="BL6" s="426"/>
      <c r="BM6" s="105"/>
      <c r="BQ6" s="931"/>
      <c r="BT6" s="424"/>
      <c r="BU6" s="106"/>
      <c r="BV6" s="106"/>
      <c r="BW6" s="106"/>
      <c r="BZ6" s="426"/>
      <c r="CA6" s="105"/>
      <c r="CE6" s="931"/>
      <c r="CH6" s="424"/>
      <c r="CI6" s="106"/>
      <c r="CJ6" s="106"/>
      <c r="CK6" s="106"/>
      <c r="CN6" s="426"/>
      <c r="CO6" s="105"/>
      <c r="CS6" s="931"/>
      <c r="CV6" s="424"/>
      <c r="CW6" s="106"/>
      <c r="CX6" s="106"/>
      <c r="CY6" s="106"/>
      <c r="DB6" s="426"/>
      <c r="DC6" s="105"/>
      <c r="DG6" s="931"/>
      <c r="DJ6" s="424"/>
      <c r="DK6" s="106"/>
      <c r="DL6" s="106"/>
      <c r="DM6" s="106"/>
      <c r="DP6" s="426"/>
      <c r="DQ6" s="105"/>
      <c r="DU6" s="931"/>
      <c r="DX6" s="424"/>
      <c r="DY6" s="106"/>
      <c r="DZ6" s="106"/>
      <c r="EA6" s="106"/>
      <c r="ED6" s="426"/>
      <c r="EE6" s="105"/>
      <c r="EI6" s="931"/>
      <c r="EL6" s="424"/>
      <c r="EM6" s="106"/>
      <c r="EN6" s="106"/>
      <c r="EO6" s="106"/>
      <c r="ER6" s="426"/>
      <c r="ES6" s="105"/>
      <c r="EW6" s="931"/>
      <c r="EZ6" s="424"/>
      <c r="FA6" s="106"/>
      <c r="FB6" s="106"/>
      <c r="FC6" s="106"/>
      <c r="FF6" s="426"/>
      <c r="FG6" s="105"/>
      <c r="FK6" s="931"/>
      <c r="FN6" s="424"/>
      <c r="FO6" s="106"/>
      <c r="FP6" s="106"/>
      <c r="FQ6" s="106"/>
      <c r="FT6" s="426"/>
      <c r="FU6" s="105"/>
      <c r="FY6" s="931"/>
      <c r="GB6" s="424"/>
      <c r="GC6" s="106"/>
      <c r="GD6" s="106"/>
      <c r="GE6" s="106"/>
      <c r="GH6" s="426"/>
      <c r="GI6" s="105"/>
      <c r="GM6" s="931"/>
      <c r="GP6" s="424"/>
      <c r="GQ6" s="106"/>
      <c r="GR6" s="106"/>
      <c r="GS6" s="106"/>
      <c r="GV6" s="426"/>
      <c r="GW6" s="105"/>
      <c r="HA6" s="931"/>
      <c r="HD6" s="424"/>
      <c r="HE6" s="106"/>
      <c r="HF6" s="106"/>
      <c r="HG6" s="106"/>
      <c r="HJ6" s="426"/>
      <c r="HK6" s="105"/>
      <c r="HO6" s="931"/>
      <c r="HR6" s="424"/>
      <c r="HS6" s="106"/>
      <c r="HT6" s="106"/>
      <c r="HU6" s="106"/>
      <c r="HX6" s="426"/>
      <c r="HY6" s="105"/>
      <c r="IC6" s="931"/>
      <c r="IF6" s="424"/>
      <c r="IG6" s="106"/>
      <c r="IH6" s="106"/>
      <c r="II6" s="106"/>
      <c r="IL6" s="426"/>
      <c r="IM6" s="105"/>
      <c r="IQ6" s="931"/>
      <c r="IT6" s="424"/>
      <c r="IU6" s="106"/>
      <c r="IV6" s="106"/>
      <c r="IW6" s="106"/>
      <c r="IZ6" s="426"/>
      <c r="JA6" s="105"/>
      <c r="JE6" s="931"/>
      <c r="JH6" s="424"/>
      <c r="JI6" s="106"/>
      <c r="JJ6" s="106"/>
      <c r="JK6" s="106"/>
      <c r="JN6" s="426"/>
      <c r="JO6" s="105"/>
      <c r="JS6" s="931"/>
      <c r="JV6" s="424"/>
      <c r="JW6" s="106"/>
      <c r="JX6" s="106"/>
      <c r="JY6" s="106"/>
      <c r="KB6" s="426"/>
      <c r="KC6" s="105"/>
      <c r="KG6" s="931"/>
      <c r="KJ6" s="424"/>
      <c r="KK6" s="106"/>
      <c r="KL6" s="106"/>
      <c r="KM6" s="106"/>
      <c r="KP6" s="426"/>
      <c r="KQ6" s="105"/>
      <c r="KU6" s="931"/>
      <c r="KX6" s="424"/>
      <c r="KY6" s="106"/>
      <c r="KZ6" s="106"/>
      <c r="LA6" s="106"/>
      <c r="LD6" s="426"/>
      <c r="LE6" s="105"/>
      <c r="LI6" s="931"/>
      <c r="LL6" s="424"/>
      <c r="LM6" s="106"/>
      <c r="LN6" s="106"/>
      <c r="LO6" s="106"/>
      <c r="LR6" s="426"/>
      <c r="LS6" s="105"/>
      <c r="LW6" s="931"/>
      <c r="LZ6" s="424"/>
      <c r="MA6" s="106"/>
      <c r="MB6" s="106"/>
      <c r="MC6" s="106"/>
      <c r="MF6" s="426"/>
      <c r="MG6" s="105"/>
      <c r="MK6" s="931"/>
      <c r="MN6" s="424"/>
      <c r="MO6" s="106"/>
      <c r="MP6" s="106"/>
      <c r="MQ6" s="106"/>
      <c r="MT6" s="426"/>
      <c r="MU6" s="105"/>
      <c r="MY6" s="931"/>
      <c r="NB6" s="424"/>
      <c r="NC6" s="106"/>
      <c r="ND6" s="106"/>
      <c r="NE6" s="106"/>
      <c r="NH6" s="426"/>
      <c r="NI6" s="105"/>
      <c r="NM6" s="931"/>
      <c r="NP6" s="424"/>
      <c r="NQ6" s="106"/>
      <c r="NR6" s="106"/>
      <c r="NS6" s="106"/>
      <c r="NV6" s="426"/>
      <c r="NW6" s="105"/>
      <c r="OA6" s="931"/>
      <c r="OD6" s="424"/>
      <c r="OE6" s="106"/>
      <c r="OF6" s="106"/>
      <c r="OG6" s="106"/>
      <c r="OJ6" s="426"/>
      <c r="OK6" s="105"/>
      <c r="OO6" s="931"/>
      <c r="OR6" s="424"/>
      <c r="OS6" s="106"/>
      <c r="OT6" s="106"/>
      <c r="OU6" s="106"/>
      <c r="OX6" s="426"/>
      <c r="OY6" s="105"/>
      <c r="PC6" s="931"/>
      <c r="PF6" s="424"/>
      <c r="PG6" s="106"/>
      <c r="PH6" s="106"/>
      <c r="PI6" s="106"/>
      <c r="PL6" s="426"/>
      <c r="PM6" s="105"/>
      <c r="PQ6" s="931"/>
      <c r="PT6" s="424"/>
      <c r="PU6" s="106"/>
      <c r="PV6" s="106"/>
      <c r="PW6" s="106"/>
      <c r="PZ6" s="426"/>
      <c r="QA6" s="105"/>
      <c r="QE6" s="931"/>
      <c r="QH6" s="424"/>
      <c r="QI6" s="106"/>
      <c r="QJ6" s="106"/>
      <c r="QK6" s="106"/>
      <c r="QN6" s="426"/>
      <c r="QO6" s="105"/>
      <c r="QS6" s="931"/>
      <c r="QV6" s="424"/>
      <c r="QW6" s="106"/>
      <c r="QX6" s="106"/>
      <c r="QY6" s="106"/>
      <c r="RB6" s="426"/>
      <c r="RC6" s="105"/>
      <c r="RG6" s="931"/>
      <c r="RJ6" s="424"/>
      <c r="RK6" s="106"/>
      <c r="RL6" s="106"/>
      <c r="RM6" s="106"/>
      <c r="RP6" s="426"/>
      <c r="RQ6" s="105"/>
      <c r="RU6" s="931"/>
      <c r="RX6" s="424"/>
      <c r="RY6" s="106"/>
      <c r="RZ6" s="106"/>
      <c r="SA6" s="106"/>
      <c r="SD6" s="426"/>
      <c r="SE6" s="105"/>
      <c r="SI6" s="931"/>
      <c r="SL6" s="424"/>
      <c r="SM6" s="106"/>
      <c r="SN6" s="106"/>
      <c r="SO6" s="106"/>
      <c r="SR6" s="426"/>
      <c r="SS6" s="105"/>
      <c r="SW6" s="931"/>
      <c r="SZ6" s="424"/>
      <c r="TA6" s="106"/>
      <c r="TB6" s="106"/>
      <c r="TC6" s="106"/>
      <c r="TF6" s="426"/>
      <c r="TG6" s="105"/>
      <c r="TK6" s="931"/>
    </row>
    <row r="7" spans="1:531" s="104" customFormat="1" ht="15.75" customHeight="1" thickBot="1">
      <c r="B7" s="427"/>
      <c r="C7" s="428"/>
      <c r="D7" s="428"/>
      <c r="E7" s="428"/>
      <c r="F7" s="429"/>
      <c r="G7" s="429"/>
      <c r="H7" s="430"/>
      <c r="I7" s="105"/>
      <c r="M7" s="931"/>
      <c r="P7" s="427"/>
      <c r="Q7" s="428"/>
      <c r="R7" s="428"/>
      <c r="S7" s="428"/>
      <c r="T7" s="429"/>
      <c r="U7" s="429"/>
      <c r="V7" s="430"/>
      <c r="W7" s="105"/>
      <c r="AA7" s="931"/>
      <c r="AD7" s="427"/>
      <c r="AE7" s="428"/>
      <c r="AF7" s="428"/>
      <c r="AG7" s="428"/>
      <c r="AH7" s="429"/>
      <c r="AI7" s="429"/>
      <c r="AJ7" s="430"/>
      <c r="AK7" s="105"/>
      <c r="AO7" s="931"/>
      <c r="AR7" s="427"/>
      <c r="AS7" s="428"/>
      <c r="AT7" s="428"/>
      <c r="AU7" s="428"/>
      <c r="AV7" s="429"/>
      <c r="AW7" s="429"/>
      <c r="AX7" s="430"/>
      <c r="AY7" s="105"/>
      <c r="BC7" s="931"/>
      <c r="BF7" s="427"/>
      <c r="BG7" s="428"/>
      <c r="BH7" s="428"/>
      <c r="BI7" s="428"/>
      <c r="BJ7" s="429"/>
      <c r="BK7" s="429"/>
      <c r="BL7" s="430"/>
      <c r="BM7" s="105"/>
      <c r="BQ7" s="931"/>
      <c r="BT7" s="427"/>
      <c r="BU7" s="428"/>
      <c r="BV7" s="428"/>
      <c r="BW7" s="428"/>
      <c r="BX7" s="429"/>
      <c r="BY7" s="429"/>
      <c r="BZ7" s="430"/>
      <c r="CA7" s="105"/>
      <c r="CE7" s="931"/>
      <c r="CH7" s="427"/>
      <c r="CI7" s="428"/>
      <c r="CJ7" s="428"/>
      <c r="CK7" s="428"/>
      <c r="CL7" s="429"/>
      <c r="CM7" s="429"/>
      <c r="CN7" s="430"/>
      <c r="CO7" s="105"/>
      <c r="CS7" s="931"/>
      <c r="CV7" s="427"/>
      <c r="CW7" s="428"/>
      <c r="CX7" s="428"/>
      <c r="CY7" s="428"/>
      <c r="CZ7" s="429"/>
      <c r="DA7" s="429"/>
      <c r="DB7" s="430"/>
      <c r="DC7" s="105"/>
      <c r="DG7" s="931"/>
      <c r="DJ7" s="427"/>
      <c r="DK7" s="428"/>
      <c r="DL7" s="428"/>
      <c r="DM7" s="428"/>
      <c r="DN7" s="429"/>
      <c r="DO7" s="429"/>
      <c r="DP7" s="430"/>
      <c r="DQ7" s="105"/>
      <c r="DU7" s="931"/>
      <c r="DX7" s="427"/>
      <c r="DY7" s="428"/>
      <c r="DZ7" s="428"/>
      <c r="EA7" s="428"/>
      <c r="EB7" s="429"/>
      <c r="EC7" s="429"/>
      <c r="ED7" s="430"/>
      <c r="EE7" s="105"/>
      <c r="EI7" s="931"/>
      <c r="EL7" s="427"/>
      <c r="EM7" s="428"/>
      <c r="EN7" s="428"/>
      <c r="EO7" s="428"/>
      <c r="EP7" s="429"/>
      <c r="EQ7" s="429"/>
      <c r="ER7" s="430"/>
      <c r="ES7" s="105"/>
      <c r="EW7" s="931"/>
      <c r="EZ7" s="427"/>
      <c r="FA7" s="428"/>
      <c r="FB7" s="428"/>
      <c r="FC7" s="428"/>
      <c r="FD7" s="429"/>
      <c r="FE7" s="429"/>
      <c r="FF7" s="430"/>
      <c r="FG7" s="105"/>
      <c r="FK7" s="931"/>
      <c r="FN7" s="427"/>
      <c r="FO7" s="428"/>
      <c r="FP7" s="428"/>
      <c r="FQ7" s="428"/>
      <c r="FR7" s="429"/>
      <c r="FS7" s="429"/>
      <c r="FT7" s="430"/>
      <c r="FU7" s="105"/>
      <c r="FY7" s="931"/>
      <c r="GB7" s="427"/>
      <c r="GC7" s="428"/>
      <c r="GD7" s="428"/>
      <c r="GE7" s="428"/>
      <c r="GF7" s="429"/>
      <c r="GG7" s="429"/>
      <c r="GH7" s="430"/>
      <c r="GI7" s="105"/>
      <c r="GM7" s="931"/>
      <c r="GP7" s="427"/>
      <c r="GQ7" s="428"/>
      <c r="GR7" s="428"/>
      <c r="GS7" s="428"/>
      <c r="GT7" s="429"/>
      <c r="GU7" s="429"/>
      <c r="GV7" s="430"/>
      <c r="GW7" s="105"/>
      <c r="HA7" s="931"/>
      <c r="HD7" s="427"/>
      <c r="HE7" s="428"/>
      <c r="HF7" s="428"/>
      <c r="HG7" s="428"/>
      <c r="HH7" s="429"/>
      <c r="HI7" s="429"/>
      <c r="HJ7" s="430"/>
      <c r="HK7" s="105"/>
      <c r="HO7" s="931"/>
      <c r="HR7" s="427"/>
      <c r="HS7" s="428"/>
      <c r="HT7" s="428"/>
      <c r="HU7" s="428"/>
      <c r="HV7" s="429"/>
      <c r="HW7" s="429"/>
      <c r="HX7" s="430"/>
      <c r="HY7" s="105"/>
      <c r="IC7" s="931"/>
      <c r="IF7" s="427"/>
      <c r="IG7" s="428"/>
      <c r="IH7" s="428"/>
      <c r="II7" s="428"/>
      <c r="IJ7" s="429"/>
      <c r="IK7" s="429"/>
      <c r="IL7" s="430"/>
      <c r="IM7" s="105"/>
      <c r="IQ7" s="931"/>
      <c r="IT7" s="427"/>
      <c r="IU7" s="428"/>
      <c r="IV7" s="428"/>
      <c r="IW7" s="428"/>
      <c r="IX7" s="429"/>
      <c r="IY7" s="429"/>
      <c r="IZ7" s="430"/>
      <c r="JA7" s="105"/>
      <c r="JE7" s="931"/>
      <c r="JH7" s="427"/>
      <c r="JI7" s="428"/>
      <c r="JJ7" s="428"/>
      <c r="JK7" s="428"/>
      <c r="JL7" s="429"/>
      <c r="JM7" s="429"/>
      <c r="JN7" s="430"/>
      <c r="JO7" s="105"/>
      <c r="JS7" s="931"/>
      <c r="JV7" s="427"/>
      <c r="JW7" s="428"/>
      <c r="JX7" s="428"/>
      <c r="JY7" s="428"/>
      <c r="JZ7" s="429"/>
      <c r="KA7" s="429"/>
      <c r="KB7" s="430"/>
      <c r="KC7" s="105"/>
      <c r="KG7" s="931"/>
      <c r="KJ7" s="427"/>
      <c r="KK7" s="428"/>
      <c r="KL7" s="428"/>
      <c r="KM7" s="428"/>
      <c r="KN7" s="429"/>
      <c r="KO7" s="429"/>
      <c r="KP7" s="430"/>
      <c r="KQ7" s="105"/>
      <c r="KU7" s="931"/>
      <c r="KX7" s="427"/>
      <c r="KY7" s="428"/>
      <c r="KZ7" s="428"/>
      <c r="LA7" s="428"/>
      <c r="LB7" s="429"/>
      <c r="LC7" s="429"/>
      <c r="LD7" s="430"/>
      <c r="LE7" s="105"/>
      <c r="LI7" s="931"/>
      <c r="LL7" s="427"/>
      <c r="LM7" s="428"/>
      <c r="LN7" s="428"/>
      <c r="LO7" s="428"/>
      <c r="LP7" s="429"/>
      <c r="LQ7" s="429"/>
      <c r="LR7" s="430"/>
      <c r="LS7" s="105"/>
      <c r="LW7" s="931"/>
      <c r="LZ7" s="427"/>
      <c r="MA7" s="428"/>
      <c r="MB7" s="428"/>
      <c r="MC7" s="428"/>
      <c r="MD7" s="429"/>
      <c r="ME7" s="429"/>
      <c r="MF7" s="430"/>
      <c r="MG7" s="105"/>
      <c r="MK7" s="931"/>
      <c r="MN7" s="427"/>
      <c r="MO7" s="428"/>
      <c r="MP7" s="428"/>
      <c r="MQ7" s="428"/>
      <c r="MR7" s="429"/>
      <c r="MS7" s="429"/>
      <c r="MT7" s="430"/>
      <c r="MU7" s="105"/>
      <c r="MY7" s="931"/>
      <c r="NB7" s="427"/>
      <c r="NC7" s="428"/>
      <c r="ND7" s="428"/>
      <c r="NE7" s="428"/>
      <c r="NF7" s="429"/>
      <c r="NG7" s="429"/>
      <c r="NH7" s="430"/>
      <c r="NI7" s="105"/>
      <c r="NM7" s="931"/>
      <c r="NP7" s="427"/>
      <c r="NQ7" s="428"/>
      <c r="NR7" s="428"/>
      <c r="NS7" s="428"/>
      <c r="NT7" s="429"/>
      <c r="NU7" s="429"/>
      <c r="NV7" s="430"/>
      <c r="NW7" s="105"/>
      <c r="OA7" s="931"/>
      <c r="OD7" s="427"/>
      <c r="OE7" s="428"/>
      <c r="OF7" s="428"/>
      <c r="OG7" s="428"/>
      <c r="OH7" s="429"/>
      <c r="OI7" s="429"/>
      <c r="OJ7" s="430"/>
      <c r="OK7" s="105"/>
      <c r="OO7" s="931"/>
      <c r="OR7" s="427"/>
      <c r="OS7" s="428"/>
      <c r="OT7" s="428"/>
      <c r="OU7" s="428"/>
      <c r="OV7" s="429"/>
      <c r="OW7" s="429"/>
      <c r="OX7" s="430"/>
      <c r="OY7" s="105"/>
      <c r="PC7" s="931"/>
      <c r="PF7" s="427"/>
      <c r="PG7" s="428"/>
      <c r="PH7" s="428"/>
      <c r="PI7" s="428"/>
      <c r="PJ7" s="429"/>
      <c r="PK7" s="429"/>
      <c r="PL7" s="430"/>
      <c r="PM7" s="105"/>
      <c r="PQ7" s="931"/>
      <c r="PT7" s="427"/>
      <c r="PU7" s="428"/>
      <c r="PV7" s="428"/>
      <c r="PW7" s="428"/>
      <c r="PX7" s="429"/>
      <c r="PY7" s="429"/>
      <c r="PZ7" s="430"/>
      <c r="QA7" s="105"/>
      <c r="QE7" s="931"/>
      <c r="QH7" s="427"/>
      <c r="QI7" s="428"/>
      <c r="QJ7" s="428"/>
      <c r="QK7" s="428"/>
      <c r="QL7" s="429"/>
      <c r="QM7" s="429"/>
      <c r="QN7" s="430"/>
      <c r="QO7" s="105"/>
      <c r="QS7" s="931"/>
      <c r="QV7" s="427"/>
      <c r="QW7" s="428"/>
      <c r="QX7" s="428"/>
      <c r="QY7" s="428"/>
      <c r="QZ7" s="429"/>
      <c r="RA7" s="429"/>
      <c r="RB7" s="430"/>
      <c r="RC7" s="105"/>
      <c r="RG7" s="931"/>
      <c r="RJ7" s="427"/>
      <c r="RK7" s="428"/>
      <c r="RL7" s="428"/>
      <c r="RM7" s="428"/>
      <c r="RN7" s="429"/>
      <c r="RO7" s="429"/>
      <c r="RP7" s="430"/>
      <c r="RQ7" s="105"/>
      <c r="RU7" s="931"/>
      <c r="RX7" s="427"/>
      <c r="RY7" s="428"/>
      <c r="RZ7" s="428"/>
      <c r="SA7" s="428"/>
      <c r="SB7" s="429"/>
      <c r="SC7" s="429"/>
      <c r="SD7" s="430"/>
      <c r="SE7" s="105"/>
      <c r="SI7" s="931"/>
      <c r="SL7" s="427"/>
      <c r="SM7" s="428"/>
      <c r="SN7" s="428"/>
      <c r="SO7" s="428"/>
      <c r="SP7" s="429"/>
      <c r="SQ7" s="429"/>
      <c r="SR7" s="430"/>
      <c r="SS7" s="105"/>
      <c r="SW7" s="931"/>
      <c r="SZ7" s="427"/>
      <c r="TA7" s="428"/>
      <c r="TB7" s="428"/>
      <c r="TC7" s="428"/>
      <c r="TD7" s="429"/>
      <c r="TE7" s="429"/>
      <c r="TF7" s="430"/>
      <c r="TG7" s="105"/>
      <c r="TK7" s="931"/>
    </row>
    <row r="8" spans="1:531" ht="4.5" customHeight="1" thickBot="1">
      <c r="B8" s="108"/>
      <c r="C8" s="108"/>
      <c r="I8" s="105"/>
      <c r="P8" s="108"/>
      <c r="Q8" s="108"/>
      <c r="W8" s="105"/>
      <c r="AD8" s="108"/>
      <c r="AE8" s="108"/>
      <c r="AK8" s="105"/>
      <c r="AR8" s="108"/>
      <c r="AS8" s="108"/>
      <c r="AY8" s="105"/>
      <c r="BF8" s="108"/>
      <c r="BG8" s="108"/>
      <c r="BM8" s="105"/>
      <c r="BT8" s="108"/>
      <c r="BU8" s="108"/>
      <c r="CA8" s="105"/>
      <c r="CH8" s="108"/>
      <c r="CI8" s="108"/>
      <c r="CO8" s="105"/>
      <c r="CV8" s="108"/>
      <c r="CW8" s="108"/>
      <c r="DC8" s="105"/>
      <c r="DJ8" s="108"/>
      <c r="DK8" s="108"/>
      <c r="DQ8" s="105"/>
      <c r="DX8" s="108"/>
      <c r="DY8" s="108"/>
      <c r="EE8" s="105"/>
      <c r="EL8" s="108"/>
      <c r="EM8" s="108"/>
      <c r="ES8" s="105"/>
      <c r="EZ8" s="108"/>
      <c r="FA8" s="108"/>
      <c r="FG8" s="105"/>
      <c r="FN8" s="108"/>
      <c r="FO8" s="108"/>
      <c r="FU8" s="105"/>
      <c r="GB8" s="108"/>
      <c r="GC8" s="108"/>
      <c r="GI8" s="105"/>
      <c r="GP8" s="108"/>
      <c r="GQ8" s="108"/>
      <c r="GW8" s="105"/>
      <c r="HD8" s="108"/>
      <c r="HE8" s="108"/>
      <c r="HK8" s="105"/>
      <c r="HR8" s="108"/>
      <c r="HS8" s="108"/>
      <c r="HY8" s="105"/>
      <c r="IF8" s="108"/>
      <c r="IG8" s="108"/>
      <c r="IM8" s="105"/>
      <c r="IT8" s="108"/>
      <c r="IU8" s="108"/>
      <c r="JA8" s="105"/>
      <c r="JH8" s="108"/>
      <c r="JI8" s="108"/>
      <c r="JO8" s="105"/>
      <c r="JV8" s="108"/>
      <c r="JW8" s="108"/>
      <c r="KC8" s="105"/>
      <c r="KJ8" s="108"/>
      <c r="KK8" s="108"/>
      <c r="KQ8" s="105"/>
      <c r="KX8" s="108"/>
      <c r="KY8" s="108"/>
      <c r="LE8" s="105"/>
      <c r="LL8" s="108"/>
      <c r="LM8" s="108"/>
      <c r="LS8" s="105"/>
      <c r="LZ8" s="108"/>
      <c r="MA8" s="108"/>
      <c r="MG8" s="105"/>
      <c r="MN8" s="108"/>
      <c r="MO8" s="108"/>
      <c r="MU8" s="105"/>
      <c r="NB8" s="108"/>
      <c r="NC8" s="108"/>
      <c r="NI8" s="105"/>
      <c r="NP8" s="108"/>
      <c r="NQ8" s="108"/>
      <c r="NW8" s="105"/>
      <c r="OD8" s="108"/>
      <c r="OE8" s="108"/>
      <c r="OK8" s="105"/>
      <c r="OR8" s="108"/>
      <c r="OS8" s="108"/>
      <c r="OY8" s="105"/>
      <c r="PF8" s="108"/>
      <c r="PG8" s="108"/>
      <c r="PM8" s="105"/>
      <c r="PT8" s="108"/>
      <c r="PU8" s="108"/>
      <c r="QA8" s="105"/>
      <c r="QH8" s="108"/>
      <c r="QI8" s="108"/>
      <c r="QO8" s="105"/>
      <c r="QV8" s="108"/>
      <c r="QW8" s="108"/>
      <c r="RC8" s="105"/>
      <c r="RJ8" s="108"/>
      <c r="RK8" s="108"/>
      <c r="RQ8" s="105"/>
      <c r="RX8" s="108"/>
      <c r="RY8" s="108"/>
      <c r="SE8" s="105"/>
      <c r="SL8" s="108"/>
      <c r="SM8" s="108"/>
      <c r="SS8" s="105"/>
      <c r="SZ8" s="108"/>
      <c r="TA8" s="108"/>
      <c r="TG8" s="105"/>
    </row>
    <row r="9" spans="1:531" ht="21.75" customHeight="1" thickBot="1">
      <c r="B9" s="1224" t="s">
        <v>1215</v>
      </c>
      <c r="C9" s="1225"/>
      <c r="D9" s="1225"/>
      <c r="E9" s="1225"/>
      <c r="F9" s="1225"/>
      <c r="G9" s="1225"/>
      <c r="H9" s="1226"/>
      <c r="I9" s="105"/>
      <c r="P9" s="1224" t="s">
        <v>1215</v>
      </c>
      <c r="Q9" s="1225"/>
      <c r="R9" s="1225"/>
      <c r="S9" s="1225"/>
      <c r="T9" s="1225"/>
      <c r="U9" s="1225"/>
      <c r="V9" s="1226"/>
      <c r="W9" s="105"/>
      <c r="AD9" s="1224" t="s">
        <v>1215</v>
      </c>
      <c r="AE9" s="1225"/>
      <c r="AF9" s="1225"/>
      <c r="AG9" s="1225"/>
      <c r="AH9" s="1225"/>
      <c r="AI9" s="1225"/>
      <c r="AJ9" s="1226"/>
      <c r="AK9" s="105"/>
      <c r="AR9" s="1224" t="s">
        <v>1215</v>
      </c>
      <c r="AS9" s="1225"/>
      <c r="AT9" s="1225"/>
      <c r="AU9" s="1225"/>
      <c r="AV9" s="1225"/>
      <c r="AW9" s="1225"/>
      <c r="AX9" s="1226"/>
      <c r="AY9" s="105"/>
      <c r="BF9" s="1224" t="s">
        <v>1215</v>
      </c>
      <c r="BG9" s="1225"/>
      <c r="BH9" s="1225"/>
      <c r="BI9" s="1225"/>
      <c r="BJ9" s="1225"/>
      <c r="BK9" s="1225"/>
      <c r="BL9" s="1226"/>
      <c r="BM9" s="105"/>
      <c r="BT9" s="1224" t="s">
        <v>1215</v>
      </c>
      <c r="BU9" s="1225"/>
      <c r="BV9" s="1225"/>
      <c r="BW9" s="1225"/>
      <c r="BX9" s="1225"/>
      <c r="BY9" s="1225"/>
      <c r="BZ9" s="1226"/>
      <c r="CA9" s="105"/>
      <c r="CH9" s="1224" t="s">
        <v>1215</v>
      </c>
      <c r="CI9" s="1225"/>
      <c r="CJ9" s="1225"/>
      <c r="CK9" s="1225"/>
      <c r="CL9" s="1225"/>
      <c r="CM9" s="1225"/>
      <c r="CN9" s="1226"/>
      <c r="CO9" s="105"/>
      <c r="CV9" s="1224" t="s">
        <v>1215</v>
      </c>
      <c r="CW9" s="1225"/>
      <c r="CX9" s="1225"/>
      <c r="CY9" s="1225"/>
      <c r="CZ9" s="1225"/>
      <c r="DA9" s="1225"/>
      <c r="DB9" s="1226"/>
      <c r="DC9" s="105"/>
      <c r="DJ9" s="1224" t="s">
        <v>1215</v>
      </c>
      <c r="DK9" s="1225"/>
      <c r="DL9" s="1225"/>
      <c r="DM9" s="1225"/>
      <c r="DN9" s="1225"/>
      <c r="DO9" s="1225"/>
      <c r="DP9" s="1226"/>
      <c r="DQ9" s="105"/>
      <c r="DX9" s="1224" t="s">
        <v>1215</v>
      </c>
      <c r="DY9" s="1225"/>
      <c r="DZ9" s="1225"/>
      <c r="EA9" s="1225"/>
      <c r="EB9" s="1225"/>
      <c r="EC9" s="1225"/>
      <c r="ED9" s="1226"/>
      <c r="EE9" s="105"/>
      <c r="EL9" s="1224" t="s">
        <v>1215</v>
      </c>
      <c r="EM9" s="1225"/>
      <c r="EN9" s="1225"/>
      <c r="EO9" s="1225"/>
      <c r="EP9" s="1225"/>
      <c r="EQ9" s="1225"/>
      <c r="ER9" s="1226"/>
      <c r="ES9" s="105"/>
      <c r="EZ9" s="1224" t="s">
        <v>1215</v>
      </c>
      <c r="FA9" s="1225"/>
      <c r="FB9" s="1225"/>
      <c r="FC9" s="1225"/>
      <c r="FD9" s="1225"/>
      <c r="FE9" s="1225"/>
      <c r="FF9" s="1226"/>
      <c r="FG9" s="105"/>
      <c r="FN9" s="1224" t="s">
        <v>1215</v>
      </c>
      <c r="FO9" s="1225"/>
      <c r="FP9" s="1225"/>
      <c r="FQ9" s="1225"/>
      <c r="FR9" s="1225"/>
      <c r="FS9" s="1225"/>
      <c r="FT9" s="1226"/>
      <c r="FU9" s="105"/>
      <c r="GB9" s="1224" t="s">
        <v>1215</v>
      </c>
      <c r="GC9" s="1225"/>
      <c r="GD9" s="1225"/>
      <c r="GE9" s="1225"/>
      <c r="GF9" s="1225"/>
      <c r="GG9" s="1225"/>
      <c r="GH9" s="1226"/>
      <c r="GI9" s="105"/>
      <c r="GP9" s="1224" t="s">
        <v>1215</v>
      </c>
      <c r="GQ9" s="1225"/>
      <c r="GR9" s="1225"/>
      <c r="GS9" s="1225"/>
      <c r="GT9" s="1225"/>
      <c r="GU9" s="1225"/>
      <c r="GV9" s="1226"/>
      <c r="GW9" s="105"/>
      <c r="HD9" s="1224" t="s">
        <v>1215</v>
      </c>
      <c r="HE9" s="1225"/>
      <c r="HF9" s="1225"/>
      <c r="HG9" s="1225"/>
      <c r="HH9" s="1225"/>
      <c r="HI9" s="1225"/>
      <c r="HJ9" s="1226"/>
      <c r="HK9" s="105"/>
      <c r="HR9" s="1224" t="s">
        <v>1215</v>
      </c>
      <c r="HS9" s="1225"/>
      <c r="HT9" s="1225"/>
      <c r="HU9" s="1225"/>
      <c r="HV9" s="1225"/>
      <c r="HW9" s="1225"/>
      <c r="HX9" s="1226"/>
      <c r="HY9" s="105"/>
      <c r="IF9" s="1224" t="s">
        <v>1215</v>
      </c>
      <c r="IG9" s="1225"/>
      <c r="IH9" s="1225"/>
      <c r="II9" s="1225"/>
      <c r="IJ9" s="1225"/>
      <c r="IK9" s="1225"/>
      <c r="IL9" s="1226"/>
      <c r="IM9" s="105"/>
      <c r="IT9" s="1224" t="s">
        <v>1215</v>
      </c>
      <c r="IU9" s="1225"/>
      <c r="IV9" s="1225"/>
      <c r="IW9" s="1225"/>
      <c r="IX9" s="1225"/>
      <c r="IY9" s="1225"/>
      <c r="IZ9" s="1226"/>
      <c r="JA9" s="105"/>
      <c r="JH9" s="1224" t="s">
        <v>1215</v>
      </c>
      <c r="JI9" s="1225"/>
      <c r="JJ9" s="1225"/>
      <c r="JK9" s="1225"/>
      <c r="JL9" s="1225"/>
      <c r="JM9" s="1225"/>
      <c r="JN9" s="1226"/>
      <c r="JO9" s="105"/>
      <c r="JV9" s="1224" t="s">
        <v>1215</v>
      </c>
      <c r="JW9" s="1225"/>
      <c r="JX9" s="1225"/>
      <c r="JY9" s="1225"/>
      <c r="JZ9" s="1225"/>
      <c r="KA9" s="1225"/>
      <c r="KB9" s="1226"/>
      <c r="KC9" s="105"/>
      <c r="KJ9" s="1224" t="s">
        <v>1215</v>
      </c>
      <c r="KK9" s="1225"/>
      <c r="KL9" s="1225"/>
      <c r="KM9" s="1225"/>
      <c r="KN9" s="1225"/>
      <c r="KO9" s="1225"/>
      <c r="KP9" s="1226"/>
      <c r="KQ9" s="105"/>
      <c r="KX9" s="1224" t="s">
        <v>1215</v>
      </c>
      <c r="KY9" s="1225"/>
      <c r="KZ9" s="1225"/>
      <c r="LA9" s="1225"/>
      <c r="LB9" s="1225"/>
      <c r="LC9" s="1225"/>
      <c r="LD9" s="1226"/>
      <c r="LE9" s="105"/>
      <c r="LL9" s="1224" t="s">
        <v>1215</v>
      </c>
      <c r="LM9" s="1225"/>
      <c r="LN9" s="1225"/>
      <c r="LO9" s="1225"/>
      <c r="LP9" s="1225"/>
      <c r="LQ9" s="1225"/>
      <c r="LR9" s="1226"/>
      <c r="LS9" s="105"/>
      <c r="LZ9" s="1224" t="s">
        <v>1215</v>
      </c>
      <c r="MA9" s="1225"/>
      <c r="MB9" s="1225"/>
      <c r="MC9" s="1225"/>
      <c r="MD9" s="1225"/>
      <c r="ME9" s="1225"/>
      <c r="MF9" s="1226"/>
      <c r="MG9" s="105"/>
      <c r="MN9" s="1224" t="s">
        <v>1215</v>
      </c>
      <c r="MO9" s="1225"/>
      <c r="MP9" s="1225"/>
      <c r="MQ9" s="1225"/>
      <c r="MR9" s="1225"/>
      <c r="MS9" s="1225"/>
      <c r="MT9" s="1226"/>
      <c r="MU9" s="105"/>
      <c r="NB9" s="1224" t="s">
        <v>1215</v>
      </c>
      <c r="NC9" s="1225"/>
      <c r="ND9" s="1225"/>
      <c r="NE9" s="1225"/>
      <c r="NF9" s="1225"/>
      <c r="NG9" s="1225"/>
      <c r="NH9" s="1226"/>
      <c r="NI9" s="105"/>
      <c r="NP9" s="1224" t="s">
        <v>1215</v>
      </c>
      <c r="NQ9" s="1225"/>
      <c r="NR9" s="1225"/>
      <c r="NS9" s="1225"/>
      <c r="NT9" s="1225"/>
      <c r="NU9" s="1225"/>
      <c r="NV9" s="1226"/>
      <c r="NW9" s="105"/>
      <c r="OD9" s="1224" t="s">
        <v>1215</v>
      </c>
      <c r="OE9" s="1225"/>
      <c r="OF9" s="1225"/>
      <c r="OG9" s="1225"/>
      <c r="OH9" s="1225"/>
      <c r="OI9" s="1225"/>
      <c r="OJ9" s="1226"/>
      <c r="OK9" s="105"/>
      <c r="OR9" s="1224" t="s">
        <v>1215</v>
      </c>
      <c r="OS9" s="1225"/>
      <c r="OT9" s="1225"/>
      <c r="OU9" s="1225"/>
      <c r="OV9" s="1225"/>
      <c r="OW9" s="1225"/>
      <c r="OX9" s="1226"/>
      <c r="OY9" s="105"/>
      <c r="PF9" s="1224" t="s">
        <v>1215</v>
      </c>
      <c r="PG9" s="1225"/>
      <c r="PH9" s="1225"/>
      <c r="PI9" s="1225"/>
      <c r="PJ9" s="1225"/>
      <c r="PK9" s="1225"/>
      <c r="PL9" s="1226"/>
      <c r="PM9" s="105"/>
      <c r="PT9" s="1224" t="s">
        <v>1215</v>
      </c>
      <c r="PU9" s="1225"/>
      <c r="PV9" s="1225"/>
      <c r="PW9" s="1225"/>
      <c r="PX9" s="1225"/>
      <c r="PY9" s="1225"/>
      <c r="PZ9" s="1226"/>
      <c r="QA9" s="105"/>
      <c r="QH9" s="1224" t="s">
        <v>1215</v>
      </c>
      <c r="QI9" s="1225"/>
      <c r="QJ9" s="1225"/>
      <c r="QK9" s="1225"/>
      <c r="QL9" s="1225"/>
      <c r="QM9" s="1225"/>
      <c r="QN9" s="1226"/>
      <c r="QO9" s="105"/>
      <c r="QV9" s="1224" t="s">
        <v>1215</v>
      </c>
      <c r="QW9" s="1225"/>
      <c r="QX9" s="1225"/>
      <c r="QY9" s="1225"/>
      <c r="QZ9" s="1225"/>
      <c r="RA9" s="1225"/>
      <c r="RB9" s="1226"/>
      <c r="RC9" s="105"/>
      <c r="RJ9" s="1224" t="s">
        <v>1215</v>
      </c>
      <c r="RK9" s="1225"/>
      <c r="RL9" s="1225"/>
      <c r="RM9" s="1225"/>
      <c r="RN9" s="1225"/>
      <c r="RO9" s="1225"/>
      <c r="RP9" s="1226"/>
      <c r="RQ9" s="105"/>
      <c r="RX9" s="1224" t="s">
        <v>1215</v>
      </c>
      <c r="RY9" s="1225"/>
      <c r="RZ9" s="1225"/>
      <c r="SA9" s="1225"/>
      <c r="SB9" s="1225"/>
      <c r="SC9" s="1225"/>
      <c r="SD9" s="1226"/>
      <c r="SE9" s="105"/>
      <c r="SL9" s="1224" t="s">
        <v>1215</v>
      </c>
      <c r="SM9" s="1225"/>
      <c r="SN9" s="1225"/>
      <c r="SO9" s="1225"/>
      <c r="SP9" s="1225"/>
      <c r="SQ9" s="1225"/>
      <c r="SR9" s="1226"/>
      <c r="SS9" s="105"/>
      <c r="SZ9" s="1224" t="s">
        <v>1215</v>
      </c>
      <c r="TA9" s="1225"/>
      <c r="TB9" s="1225"/>
      <c r="TC9" s="1225"/>
      <c r="TD9" s="1225"/>
      <c r="TE9" s="1225"/>
      <c r="TF9" s="1226"/>
      <c r="TG9" s="105"/>
    </row>
    <row r="10" spans="1:531" ht="11.25" customHeight="1" thickBot="1">
      <c r="I10" s="105"/>
      <c r="W10" s="105"/>
      <c r="AK10" s="105"/>
      <c r="AY10" s="105"/>
      <c r="BM10" s="105"/>
      <c r="CA10" s="105"/>
      <c r="CO10" s="105"/>
      <c r="DC10" s="105"/>
      <c r="DQ10" s="105"/>
      <c r="EE10" s="105"/>
      <c r="ES10" s="105"/>
      <c r="FG10" s="105"/>
      <c r="FU10" s="105"/>
      <c r="GI10" s="105"/>
      <c r="GW10" s="105"/>
      <c r="HK10" s="105"/>
      <c r="HY10" s="105"/>
      <c r="IM10" s="105"/>
      <c r="JA10" s="105"/>
      <c r="JO10" s="105"/>
      <c r="KC10" s="105"/>
      <c r="KQ10" s="105"/>
      <c r="LE10" s="105"/>
      <c r="LS10" s="105"/>
      <c r="MG10" s="105"/>
      <c r="MU10" s="105"/>
      <c r="NI10" s="105"/>
      <c r="NW10" s="105"/>
      <c r="OK10" s="105"/>
      <c r="OY10" s="105"/>
      <c r="PM10" s="105"/>
      <c r="QA10" s="105"/>
      <c r="QO10" s="105"/>
      <c r="RC10" s="105"/>
      <c r="RQ10" s="105"/>
      <c r="SE10" s="105"/>
      <c r="SS10" s="105"/>
      <c r="TG10" s="105"/>
    </row>
    <row r="11" spans="1:531" ht="16.5" customHeight="1" thickBot="1">
      <c r="B11" s="1227" t="s">
        <v>1217</v>
      </c>
      <c r="C11" s="1228"/>
      <c r="D11" s="1229"/>
      <c r="E11" s="479">
        <f>+'Parametros Generales'!$C$6</f>
        <v>5</v>
      </c>
      <c r="P11" s="1227" t="s">
        <v>1217</v>
      </c>
      <c r="Q11" s="1228"/>
      <c r="R11" s="1229"/>
      <c r="S11" s="479">
        <f>+'Parametros Generales'!$C$6</f>
        <v>5</v>
      </c>
      <c r="AD11" s="1227" t="s">
        <v>1217</v>
      </c>
      <c r="AE11" s="1228"/>
      <c r="AF11" s="1229"/>
      <c r="AG11" s="479">
        <f>+'Parametros Generales'!$C$6</f>
        <v>5</v>
      </c>
      <c r="AR11" s="1227" t="s">
        <v>1217</v>
      </c>
      <c r="AS11" s="1228"/>
      <c r="AT11" s="1229"/>
      <c r="AU11" s="479">
        <f>+'Parametros Generales'!$C$6</f>
        <v>5</v>
      </c>
      <c r="BF11" s="1227" t="s">
        <v>1217</v>
      </c>
      <c r="BG11" s="1228"/>
      <c r="BH11" s="1229"/>
      <c r="BI11" s="479">
        <f>+'Parametros Generales'!$C$6</f>
        <v>5</v>
      </c>
      <c r="BT11" s="1227" t="s">
        <v>1217</v>
      </c>
      <c r="BU11" s="1228"/>
      <c r="BV11" s="1229"/>
      <c r="BW11" s="479">
        <f>+'Parametros Generales'!$C$6</f>
        <v>5</v>
      </c>
      <c r="CH11" s="1227" t="s">
        <v>1217</v>
      </c>
      <c r="CI11" s="1228"/>
      <c r="CJ11" s="1229"/>
      <c r="CK11" s="479">
        <f>+'Parametros Generales'!$C$6</f>
        <v>5</v>
      </c>
      <c r="CV11" s="1227" t="s">
        <v>1217</v>
      </c>
      <c r="CW11" s="1228"/>
      <c r="CX11" s="1229"/>
      <c r="CY11" s="479">
        <f>+'Parametros Generales'!$C$6</f>
        <v>5</v>
      </c>
      <c r="DJ11" s="1227" t="s">
        <v>1217</v>
      </c>
      <c r="DK11" s="1228"/>
      <c r="DL11" s="1229"/>
      <c r="DM11" s="479">
        <f>+'Parametros Generales'!$C$6</f>
        <v>5</v>
      </c>
      <c r="DX11" s="1227" t="s">
        <v>1217</v>
      </c>
      <c r="DY11" s="1228"/>
      <c r="DZ11" s="1229"/>
      <c r="EA11" s="479">
        <f>+'Parametros Generales'!$C$6</f>
        <v>5</v>
      </c>
      <c r="EL11" s="1227" t="s">
        <v>1217</v>
      </c>
      <c r="EM11" s="1228"/>
      <c r="EN11" s="1229"/>
      <c r="EO11" s="479">
        <f>+'Parametros Generales'!$C$6</f>
        <v>5</v>
      </c>
      <c r="EZ11" s="1227" t="s">
        <v>1217</v>
      </c>
      <c r="FA11" s="1228"/>
      <c r="FB11" s="1229"/>
      <c r="FC11" s="479">
        <f>+'Parametros Generales'!$C$6</f>
        <v>5</v>
      </c>
      <c r="FN11" s="1227" t="s">
        <v>1217</v>
      </c>
      <c r="FO11" s="1228"/>
      <c r="FP11" s="1229"/>
      <c r="FQ11" s="479">
        <f>+'Parametros Generales'!$C$6</f>
        <v>5</v>
      </c>
      <c r="GB11" s="1227" t="s">
        <v>1217</v>
      </c>
      <c r="GC11" s="1228"/>
      <c r="GD11" s="1229"/>
      <c r="GE11" s="479">
        <f>+'Parametros Generales'!$C$6</f>
        <v>5</v>
      </c>
      <c r="GP11" s="1227" t="s">
        <v>1217</v>
      </c>
      <c r="GQ11" s="1228"/>
      <c r="GR11" s="1229"/>
      <c r="GS11" s="479">
        <f>+'Parametros Generales'!$C$6</f>
        <v>5</v>
      </c>
      <c r="HD11" s="1227" t="s">
        <v>1217</v>
      </c>
      <c r="HE11" s="1228"/>
      <c r="HF11" s="1229"/>
      <c r="HG11" s="479">
        <f>+'Parametros Generales'!$C$6</f>
        <v>5</v>
      </c>
      <c r="HR11" s="1227" t="s">
        <v>1217</v>
      </c>
      <c r="HS11" s="1228"/>
      <c r="HT11" s="1229"/>
      <c r="HU11" s="479">
        <f>+'Parametros Generales'!$C$6</f>
        <v>5</v>
      </c>
      <c r="IF11" s="1227" t="s">
        <v>1217</v>
      </c>
      <c r="IG11" s="1228"/>
      <c r="IH11" s="1229"/>
      <c r="II11" s="479">
        <f>+'Parametros Generales'!$C$6</f>
        <v>5</v>
      </c>
      <c r="IT11" s="1227" t="s">
        <v>1217</v>
      </c>
      <c r="IU11" s="1228"/>
      <c r="IV11" s="1229"/>
      <c r="IW11" s="479">
        <f>+'Parametros Generales'!$C$6</f>
        <v>5</v>
      </c>
      <c r="JH11" s="1227" t="s">
        <v>1217</v>
      </c>
      <c r="JI11" s="1228"/>
      <c r="JJ11" s="1229"/>
      <c r="JK11" s="479">
        <f>+'Parametros Generales'!$C$6</f>
        <v>5</v>
      </c>
      <c r="JV11" s="1227" t="s">
        <v>1217</v>
      </c>
      <c r="JW11" s="1228"/>
      <c r="JX11" s="1229"/>
      <c r="JY11" s="479">
        <f>+'Parametros Generales'!$C$6</f>
        <v>5</v>
      </c>
      <c r="KJ11" s="1227" t="s">
        <v>1217</v>
      </c>
      <c r="KK11" s="1228"/>
      <c r="KL11" s="1229"/>
      <c r="KM11" s="479">
        <f>+'Parametros Generales'!$C$6</f>
        <v>5</v>
      </c>
      <c r="KX11" s="1227" t="s">
        <v>1217</v>
      </c>
      <c r="KY11" s="1228"/>
      <c r="KZ11" s="1229"/>
      <c r="LA11" s="479">
        <f>+'Parametros Generales'!$C$6</f>
        <v>5</v>
      </c>
      <c r="LL11" s="1227" t="s">
        <v>1217</v>
      </c>
      <c r="LM11" s="1228"/>
      <c r="LN11" s="1229"/>
      <c r="LO11" s="479">
        <f>+'Parametros Generales'!$C$6</f>
        <v>5</v>
      </c>
      <c r="LZ11" s="1227" t="s">
        <v>1217</v>
      </c>
      <c r="MA11" s="1228"/>
      <c r="MB11" s="1229"/>
      <c r="MC11" s="479">
        <f>+'Parametros Generales'!$C$6</f>
        <v>5</v>
      </c>
      <c r="MN11" s="1227" t="s">
        <v>1217</v>
      </c>
      <c r="MO11" s="1228"/>
      <c r="MP11" s="1229"/>
      <c r="MQ11" s="479">
        <f>+'Parametros Generales'!$C$6</f>
        <v>5</v>
      </c>
      <c r="NB11" s="1227" t="s">
        <v>1217</v>
      </c>
      <c r="NC11" s="1228"/>
      <c r="ND11" s="1229"/>
      <c r="NE11" s="479">
        <f>+'Parametros Generales'!$C$6</f>
        <v>5</v>
      </c>
      <c r="NP11" s="1227" t="s">
        <v>1217</v>
      </c>
      <c r="NQ11" s="1228"/>
      <c r="NR11" s="1229"/>
      <c r="NS11" s="479">
        <f>+'Parametros Generales'!$C$6</f>
        <v>5</v>
      </c>
      <c r="OD11" s="1227" t="s">
        <v>1217</v>
      </c>
      <c r="OE11" s="1228"/>
      <c r="OF11" s="1229"/>
      <c r="OG11" s="479">
        <f>+'Parametros Generales'!$C$6</f>
        <v>5</v>
      </c>
      <c r="OR11" s="1227" t="s">
        <v>1217</v>
      </c>
      <c r="OS11" s="1228"/>
      <c r="OT11" s="1229"/>
      <c r="OU11" s="479">
        <f>+'Parametros Generales'!$C$6</f>
        <v>5</v>
      </c>
      <c r="PF11" s="1227" t="s">
        <v>1217</v>
      </c>
      <c r="PG11" s="1228"/>
      <c r="PH11" s="1229"/>
      <c r="PI11" s="479">
        <f>+'Parametros Generales'!$C$6</f>
        <v>5</v>
      </c>
      <c r="PT11" s="1227" t="s">
        <v>1217</v>
      </c>
      <c r="PU11" s="1228"/>
      <c r="PV11" s="1229"/>
      <c r="PW11" s="479">
        <f>+'Parametros Generales'!$C$6</f>
        <v>5</v>
      </c>
      <c r="QH11" s="1227" t="s">
        <v>1217</v>
      </c>
      <c r="QI11" s="1228"/>
      <c r="QJ11" s="1229"/>
      <c r="QK11" s="479">
        <f>+'Parametros Generales'!$C$6</f>
        <v>5</v>
      </c>
      <c r="QV11" s="1227" t="s">
        <v>1217</v>
      </c>
      <c r="QW11" s="1228"/>
      <c r="QX11" s="1229"/>
      <c r="QY11" s="479">
        <f>+'Parametros Generales'!$C$6</f>
        <v>5</v>
      </c>
      <c r="RJ11" s="1227" t="s">
        <v>1217</v>
      </c>
      <c r="RK11" s="1228"/>
      <c r="RL11" s="1229"/>
      <c r="RM11" s="479">
        <f>+'Parametros Generales'!$C$6</f>
        <v>5</v>
      </c>
      <c r="RX11" s="1227" t="s">
        <v>1217</v>
      </c>
      <c r="RY11" s="1228"/>
      <c r="RZ11" s="1229"/>
      <c r="SA11" s="479">
        <f>+'Parametros Generales'!$C$6</f>
        <v>5</v>
      </c>
      <c r="SL11" s="1227" t="s">
        <v>1217</v>
      </c>
      <c r="SM11" s="1228"/>
      <c r="SN11" s="1229"/>
      <c r="SO11" s="479">
        <f>+'Parametros Generales'!$C$6</f>
        <v>5</v>
      </c>
      <c r="SZ11" s="1227" t="s">
        <v>1217</v>
      </c>
      <c r="TA11" s="1228"/>
      <c r="TB11" s="1229"/>
      <c r="TC11" s="479">
        <f>+'Parametros Generales'!$C$6</f>
        <v>5</v>
      </c>
    </row>
    <row r="12" spans="1:531" ht="10.5" customHeight="1"/>
    <row r="13" spans="1:531" ht="21" customHeight="1">
      <c r="B13" s="939">
        <v>1</v>
      </c>
      <c r="C13" s="939" t="str">
        <f>+VLOOKUP(B13,'Cost x Depart'!$A$2:$AL$1275,3,0)</f>
        <v>ANTIOQUIA ZONA 1</v>
      </c>
      <c r="P13" s="939">
        <f>+B13+1</f>
        <v>2</v>
      </c>
      <c r="Q13" s="939" t="str">
        <f>+VLOOKUP(P13,'Cost x Depart'!$A$2:$AL$1275,3,0)</f>
        <v>ANTIOQUIA ZONA 2</v>
      </c>
      <c r="AD13" s="939"/>
      <c r="AE13" s="939" t="s">
        <v>47</v>
      </c>
      <c r="AR13" s="939">
        <f>+P13+1</f>
        <v>3</v>
      </c>
      <c r="AS13" s="939" t="str">
        <f>+VLOOKUP(AR13,'Cost x Depart'!$A$2:$AL$1275,3,0)</f>
        <v>ATLÁNTICO</v>
      </c>
      <c r="BF13" s="939">
        <f>+AR13+1</f>
        <v>4</v>
      </c>
      <c r="BG13" s="939" t="str">
        <f>+VLOOKUP(BF13,'Cost x Depart'!$A$2:$AL$1275,3,0)</f>
        <v>BOLÍVAR</v>
      </c>
      <c r="BT13" s="939">
        <f t="shared" ref="BT13" si="0">+BF13+1</f>
        <v>5</v>
      </c>
      <c r="BU13" s="939" t="str">
        <f>+VLOOKUP(BT13,'Cost x Depart'!$A$2:$AL$1275,3,0)</f>
        <v>BOYACÁ</v>
      </c>
      <c r="CH13" s="939">
        <f t="shared" ref="CH13" si="1">+BT13+1</f>
        <v>6</v>
      </c>
      <c r="CI13" s="939" t="str">
        <f>+VLOOKUP(CH13,'Cost x Depart'!$A$2:$AL$1275,3,0)</f>
        <v>CALDAS</v>
      </c>
      <c r="CV13" s="939">
        <f t="shared" ref="CV13" si="2">+CH13+1</f>
        <v>7</v>
      </c>
      <c r="CW13" s="939" t="str">
        <f>+VLOOKUP(CV13,'Cost x Depart'!$A$2:$AL$1275,3,0)</f>
        <v>CAQUETÁ</v>
      </c>
      <c r="DJ13" s="939">
        <f t="shared" ref="DJ13" si="3">+CV13+1</f>
        <v>8</v>
      </c>
      <c r="DK13" s="939" t="str">
        <f>+VLOOKUP(DJ13,'Cost x Depart'!$A$2:$AL$1275,3,0)</f>
        <v>CAUCA</v>
      </c>
      <c r="DX13" s="939">
        <f t="shared" ref="DX13" si="4">+DJ13+1</f>
        <v>9</v>
      </c>
      <c r="DY13" s="939" t="str">
        <f>+VLOOKUP(DX13,'Cost x Depart'!$A$2:$AL$1275,3,0)</f>
        <v>CESAR</v>
      </c>
      <c r="EL13" s="939">
        <f t="shared" ref="EL13" si="5">+DX13+1</f>
        <v>10</v>
      </c>
      <c r="EM13" s="939" t="str">
        <f>+VLOOKUP(EL13,'Cost x Depart'!$A$2:$AL$1275,3,0)</f>
        <v>CÓRDOBA</v>
      </c>
      <c r="EZ13" s="939">
        <f t="shared" ref="EZ13" si="6">+EL13+1</f>
        <v>11</v>
      </c>
      <c r="FA13" s="939" t="str">
        <f>+VLOOKUP(EZ13,'Cost x Depart'!$A$2:$AL$1275,3,0)</f>
        <v>CUNDINAMARCA</v>
      </c>
      <c r="FN13" s="939">
        <f t="shared" ref="FN13" si="7">+EZ13+1</f>
        <v>12</v>
      </c>
      <c r="FO13" s="939" t="str">
        <f>+VLOOKUP(FN13,'Cost x Depart'!$A$2:$AL$1275,3,0)</f>
        <v>CHOCÓ</v>
      </c>
      <c r="GB13" s="939">
        <f t="shared" ref="GB13" si="8">+FN13+1</f>
        <v>13</v>
      </c>
      <c r="GC13" s="939" t="str">
        <f>+VLOOKUP(GB13,'Cost x Depart'!$A$2:$AL$1275,3,0)</f>
        <v>HUILA</v>
      </c>
      <c r="GP13" s="939">
        <f t="shared" ref="GP13" si="9">+GB13+1</f>
        <v>14</v>
      </c>
      <c r="GQ13" s="939" t="str">
        <f>+VLOOKUP(GP13,'Cost x Depart'!$A$2:$AL$1275,3,0)</f>
        <v>LA GUAJIRA</v>
      </c>
      <c r="HD13" s="939">
        <f t="shared" ref="HD13" si="10">+GP13+1</f>
        <v>15</v>
      </c>
      <c r="HE13" s="939" t="str">
        <f>+VLOOKUP(HD13,'Cost x Depart'!$A$2:$AL$1275,3,0)</f>
        <v>MAGDALENA</v>
      </c>
      <c r="HR13" s="939">
        <f t="shared" ref="HR13" si="11">+HD13+1</f>
        <v>16</v>
      </c>
      <c r="HS13" s="939" t="str">
        <f>+VLOOKUP(HR13,'Cost x Depart'!$A$2:$AL$1275,3,0)</f>
        <v>META</v>
      </c>
      <c r="IF13" s="939">
        <f t="shared" ref="IF13" si="12">+HR13+1</f>
        <v>17</v>
      </c>
      <c r="IG13" s="939" t="str">
        <f>+VLOOKUP(IF13,'Cost x Depart'!$A$2:$AL$1275,5,0)</f>
        <v>NARIÑO ZONA 1</v>
      </c>
      <c r="IT13" s="939">
        <f t="shared" ref="IT13" si="13">+IF13+1</f>
        <v>18</v>
      </c>
      <c r="IU13" s="939" t="str">
        <f>+VLOOKUP(IT13,'Cost x Depart'!$A$2:$AL$1275,5,0)</f>
        <v>NARIÑO ZONA 2</v>
      </c>
      <c r="JH13" s="939"/>
      <c r="JI13" s="939" t="str">
        <f>+VLOOKUP(IT13,'Cost x Depart'!$A$2:$AL$1275,3,0)</f>
        <v>NARIÑO</v>
      </c>
      <c r="JV13" s="939">
        <f t="shared" ref="JV13" si="14">+IT13+1</f>
        <v>19</v>
      </c>
      <c r="JW13" s="939" t="str">
        <f>+VLOOKUP(JV13,'Cost x Depart'!$A$2:$AL$1275,3,0)</f>
        <v>NORTE DE SANTANDER</v>
      </c>
      <c r="KJ13" s="939">
        <f t="shared" ref="KJ13" si="15">+JV13+1</f>
        <v>20</v>
      </c>
      <c r="KK13" s="939" t="str">
        <f>+VLOOKUP(KJ13,'Cost x Depart'!$A$2:$AL$1275,3,0)</f>
        <v>QUINDÍO</v>
      </c>
      <c r="KX13" s="939">
        <f t="shared" ref="KX13" si="16">+KJ13+1</f>
        <v>21</v>
      </c>
      <c r="KY13" s="939" t="str">
        <f>+VLOOKUP(KX13,'Cost x Depart'!$A$2:$AL$1275,3,0)</f>
        <v>RISARALDA</v>
      </c>
      <c r="LL13" s="939">
        <f t="shared" ref="LL13" si="17">+KX13+1</f>
        <v>22</v>
      </c>
      <c r="LM13" s="939" t="str">
        <f>+VLOOKUP(LL13,'Cost x Depart'!$A$2:$AL$1275,3,0)</f>
        <v>SANTANDER</v>
      </c>
      <c r="LZ13" s="939">
        <f t="shared" ref="LZ13" si="18">+LL13+1</f>
        <v>23</v>
      </c>
      <c r="MA13" s="939" t="str">
        <f>+VLOOKUP(LZ13,'Cost x Depart'!$A$2:$AL$1275,3,0)</f>
        <v>SUCRE</v>
      </c>
      <c r="MN13" s="939">
        <f t="shared" ref="MN13" si="19">+LZ13+1</f>
        <v>24</v>
      </c>
      <c r="MO13" s="939" t="str">
        <f>+VLOOKUP(MN13,'Cost x Depart'!$A$2:$AL$1275,3,0)</f>
        <v>TOLIMA</v>
      </c>
      <c r="NB13" s="939">
        <f t="shared" ref="NB13" si="20">+MN13+1</f>
        <v>25</v>
      </c>
      <c r="NC13" s="939" t="str">
        <f>+VLOOKUP(NB13,'Cost x Depart'!$A$2:$AL$1275,3,0)</f>
        <v>VALLE DEL CAUCA</v>
      </c>
      <c r="NP13" s="939">
        <f t="shared" ref="NP13" si="21">+NB13+1</f>
        <v>26</v>
      </c>
      <c r="NQ13" s="939" t="str">
        <f>+VLOOKUP(NP13,'Cost x Depart'!$A$2:$AL$1275,3,0)</f>
        <v>ARAUCA</v>
      </c>
      <c r="OD13" s="939">
        <f t="shared" ref="OD13" si="22">+NP13+1</f>
        <v>27</v>
      </c>
      <c r="OE13" s="939" t="str">
        <f>+VLOOKUP(OD13,'Cost x Depart'!$A$2:$AL$1275,3,0)</f>
        <v>CASANARE</v>
      </c>
      <c r="OR13" s="939">
        <f t="shared" ref="OR13" si="23">+OD13+1</f>
        <v>28</v>
      </c>
      <c r="OS13" s="939" t="str">
        <f>+VLOOKUP(OR13,'Cost x Depart'!$A$2:$AL$1275,3,0)</f>
        <v>PUTUMAYO</v>
      </c>
      <c r="PF13" s="939">
        <f t="shared" ref="PF13" si="24">+OR13+1</f>
        <v>29</v>
      </c>
      <c r="PG13" s="939" t="str">
        <f>+VLOOKUP(PF13,'Cost x Depart'!$A$2:$AL$1275,3,0)</f>
        <v>SAN ANDRÉS</v>
      </c>
      <c r="PT13" s="939">
        <f t="shared" ref="PT13" si="25">+PF13+1</f>
        <v>30</v>
      </c>
      <c r="PU13" s="939" t="str">
        <f>+VLOOKUP(PT13,'Cost x Depart'!$A$2:$AL$1275,3,0)</f>
        <v>AMAZONAS</v>
      </c>
      <c r="QH13" s="939">
        <f t="shared" ref="QH13" si="26">+PT13+1</f>
        <v>31</v>
      </c>
      <c r="QI13" s="939" t="str">
        <f>+VLOOKUP(QH13,'Cost x Depart'!$A$2:$AL$1275,3,0)</f>
        <v>GUAINÍA</v>
      </c>
      <c r="QV13" s="939">
        <f t="shared" ref="QV13" si="27">+QH13+1</f>
        <v>32</v>
      </c>
      <c r="QW13" s="939" t="str">
        <f>+VLOOKUP(QV13,'Cost x Depart'!$A$2:$AL$1275,3,0)</f>
        <v>GUAVIARE</v>
      </c>
      <c r="RJ13" s="939">
        <f t="shared" ref="RJ13" si="28">+QV13+1</f>
        <v>33</v>
      </c>
      <c r="RK13" s="939" t="str">
        <f>+VLOOKUP(RJ13,'Cost x Depart'!$A$2:$AL$1275,3,0)</f>
        <v>VAUPÉS</v>
      </c>
      <c r="RX13" s="939">
        <f t="shared" ref="RX13" si="29">+RJ13+1</f>
        <v>34</v>
      </c>
      <c r="RY13" s="939" t="str">
        <f>+VLOOKUP(RX13,'Cost x Depart'!$A$2:$AL$1275,3,0)</f>
        <v>VICHADA</v>
      </c>
      <c r="SL13" s="939">
        <f t="shared" ref="SL13" si="30">+RX13+1</f>
        <v>35</v>
      </c>
      <c r="SM13" s="939" t="str">
        <f>+VLOOKUP(SL13,'Cost x Depart'!$A$2:$AL$1275,3,0)</f>
        <v>BOGOTÁ</v>
      </c>
      <c r="SZ13" s="939"/>
      <c r="TA13" s="939" t="s">
        <v>2374</v>
      </c>
    </row>
    <row r="14" spans="1:531" ht="10.5" customHeight="1" thickBot="1"/>
    <row r="15" spans="1:531" ht="46.5" customHeight="1" thickBot="1">
      <c r="B15" s="1053" t="s">
        <v>1232</v>
      </c>
      <c r="C15" s="1055" t="s">
        <v>1233</v>
      </c>
      <c r="D15" s="1055" t="s">
        <v>24</v>
      </c>
      <c r="E15" s="1055" t="s">
        <v>1234</v>
      </c>
      <c r="F15" s="1231" t="s">
        <v>1216</v>
      </c>
      <c r="G15" s="1223"/>
      <c r="H15" s="133" t="s">
        <v>1235</v>
      </c>
      <c r="I15" s="122"/>
      <c r="M15" s="935" t="s">
        <v>2360</v>
      </c>
      <c r="P15" s="914" t="s">
        <v>1232</v>
      </c>
      <c r="Q15" s="913" t="s">
        <v>1233</v>
      </c>
      <c r="R15" s="913" t="s">
        <v>24</v>
      </c>
      <c r="S15" s="913" t="s">
        <v>1234</v>
      </c>
      <c r="T15" s="1230" t="s">
        <v>1216</v>
      </c>
      <c r="U15" s="1231"/>
      <c r="V15" s="133" t="s">
        <v>1235</v>
      </c>
      <c r="W15" s="122"/>
      <c r="AA15" s="935" t="s">
        <v>2360</v>
      </c>
      <c r="AD15" s="1036" t="s">
        <v>1232</v>
      </c>
      <c r="AE15" s="1038" t="s">
        <v>1233</v>
      </c>
      <c r="AF15" s="1038" t="s">
        <v>24</v>
      </c>
      <c r="AG15" s="1038" t="s">
        <v>1234</v>
      </c>
      <c r="AH15" s="1230" t="s">
        <v>1216</v>
      </c>
      <c r="AI15" s="1231"/>
      <c r="AJ15" s="133" t="s">
        <v>1235</v>
      </c>
      <c r="AK15" s="122"/>
      <c r="AO15" s="935" t="s">
        <v>2360</v>
      </c>
      <c r="AR15" s="1053" t="s">
        <v>1232</v>
      </c>
      <c r="AS15" s="1055" t="s">
        <v>1233</v>
      </c>
      <c r="AT15" s="1055" t="s">
        <v>24</v>
      </c>
      <c r="AU15" s="1055" t="s">
        <v>1234</v>
      </c>
      <c r="AV15" s="1230" t="s">
        <v>1216</v>
      </c>
      <c r="AW15" s="1231"/>
      <c r="AX15" s="133" t="s">
        <v>1235</v>
      </c>
      <c r="AY15" s="122"/>
      <c r="BC15" s="935" t="s">
        <v>2360</v>
      </c>
      <c r="BF15" s="1053" t="s">
        <v>1232</v>
      </c>
      <c r="BG15" s="1055" t="s">
        <v>1233</v>
      </c>
      <c r="BH15" s="1055" t="s">
        <v>24</v>
      </c>
      <c r="BI15" s="1055" t="s">
        <v>1234</v>
      </c>
      <c r="BJ15" s="1230" t="s">
        <v>1216</v>
      </c>
      <c r="BK15" s="1231"/>
      <c r="BL15" s="133" t="s">
        <v>1235</v>
      </c>
      <c r="BM15" s="122"/>
      <c r="BQ15" s="935" t="s">
        <v>2360</v>
      </c>
      <c r="BT15" s="1053" t="s">
        <v>1232</v>
      </c>
      <c r="BU15" s="1055" t="s">
        <v>1233</v>
      </c>
      <c r="BV15" s="1055" t="s">
        <v>24</v>
      </c>
      <c r="BW15" s="1055" t="s">
        <v>1234</v>
      </c>
      <c r="BX15" s="1230" t="s">
        <v>1216</v>
      </c>
      <c r="BY15" s="1231"/>
      <c r="BZ15" s="133" t="s">
        <v>1235</v>
      </c>
      <c r="CA15" s="122"/>
      <c r="CE15" s="935" t="s">
        <v>2360</v>
      </c>
      <c r="CH15" s="1053" t="s">
        <v>1232</v>
      </c>
      <c r="CI15" s="1055" t="s">
        <v>1233</v>
      </c>
      <c r="CJ15" s="1055" t="s">
        <v>24</v>
      </c>
      <c r="CK15" s="1055" t="s">
        <v>1234</v>
      </c>
      <c r="CL15" s="1230" t="s">
        <v>1216</v>
      </c>
      <c r="CM15" s="1231"/>
      <c r="CN15" s="133" t="s">
        <v>1235</v>
      </c>
      <c r="CO15" s="122"/>
      <c r="CS15" s="935" t="s">
        <v>2360</v>
      </c>
      <c r="CV15" s="1053" t="s">
        <v>1232</v>
      </c>
      <c r="CW15" s="1055" t="s">
        <v>1233</v>
      </c>
      <c r="CX15" s="1055" t="s">
        <v>24</v>
      </c>
      <c r="CY15" s="1055" t="s">
        <v>1234</v>
      </c>
      <c r="CZ15" s="1230" t="s">
        <v>1216</v>
      </c>
      <c r="DA15" s="1231"/>
      <c r="DB15" s="133" t="s">
        <v>1235</v>
      </c>
      <c r="DC15" s="122"/>
      <c r="DG15" s="935" t="s">
        <v>2360</v>
      </c>
      <c r="DJ15" s="1053" t="s">
        <v>1232</v>
      </c>
      <c r="DK15" s="1055" t="s">
        <v>1233</v>
      </c>
      <c r="DL15" s="1055" t="s">
        <v>24</v>
      </c>
      <c r="DM15" s="1055" t="s">
        <v>1234</v>
      </c>
      <c r="DN15" s="1230" t="s">
        <v>1216</v>
      </c>
      <c r="DO15" s="1231"/>
      <c r="DP15" s="133" t="s">
        <v>1235</v>
      </c>
      <c r="DQ15" s="122"/>
      <c r="DU15" s="935" t="s">
        <v>2360</v>
      </c>
      <c r="DX15" s="1053" t="s">
        <v>1232</v>
      </c>
      <c r="DY15" s="1055" t="s">
        <v>1233</v>
      </c>
      <c r="DZ15" s="1055" t="s">
        <v>24</v>
      </c>
      <c r="EA15" s="1055" t="s">
        <v>1234</v>
      </c>
      <c r="EB15" s="1230" t="s">
        <v>1216</v>
      </c>
      <c r="EC15" s="1231"/>
      <c r="ED15" s="133" t="s">
        <v>1235</v>
      </c>
      <c r="EE15" s="122"/>
      <c r="EI15" s="935" t="s">
        <v>2360</v>
      </c>
      <c r="EL15" s="1053" t="s">
        <v>1232</v>
      </c>
      <c r="EM15" s="1055" t="s">
        <v>1233</v>
      </c>
      <c r="EN15" s="1055" t="s">
        <v>24</v>
      </c>
      <c r="EO15" s="1055" t="s">
        <v>1234</v>
      </c>
      <c r="EP15" s="1230" t="s">
        <v>1216</v>
      </c>
      <c r="EQ15" s="1231"/>
      <c r="ER15" s="133" t="s">
        <v>1235</v>
      </c>
      <c r="ES15" s="122"/>
      <c r="EW15" s="935" t="s">
        <v>2360</v>
      </c>
      <c r="EZ15" s="1053" t="s">
        <v>1232</v>
      </c>
      <c r="FA15" s="1055" t="s">
        <v>1233</v>
      </c>
      <c r="FB15" s="1055" t="s">
        <v>24</v>
      </c>
      <c r="FC15" s="1055" t="s">
        <v>1234</v>
      </c>
      <c r="FD15" s="1230" t="s">
        <v>1216</v>
      </c>
      <c r="FE15" s="1231"/>
      <c r="FF15" s="133" t="s">
        <v>1235</v>
      </c>
      <c r="FG15" s="122"/>
      <c r="FK15" s="935" t="s">
        <v>2360</v>
      </c>
      <c r="FN15" s="1053" t="s">
        <v>1232</v>
      </c>
      <c r="FO15" s="1055" t="s">
        <v>1233</v>
      </c>
      <c r="FP15" s="1055" t="s">
        <v>24</v>
      </c>
      <c r="FQ15" s="1055" t="s">
        <v>1234</v>
      </c>
      <c r="FR15" s="1230" t="s">
        <v>1216</v>
      </c>
      <c r="FS15" s="1231"/>
      <c r="FT15" s="133" t="s">
        <v>1235</v>
      </c>
      <c r="FU15" s="122"/>
      <c r="FY15" s="935" t="s">
        <v>2360</v>
      </c>
      <c r="GB15" s="1053" t="s">
        <v>1232</v>
      </c>
      <c r="GC15" s="1055" t="s">
        <v>1233</v>
      </c>
      <c r="GD15" s="1055" t="s">
        <v>24</v>
      </c>
      <c r="GE15" s="1055" t="s">
        <v>1234</v>
      </c>
      <c r="GF15" s="1230" t="s">
        <v>1216</v>
      </c>
      <c r="GG15" s="1231"/>
      <c r="GH15" s="133" t="s">
        <v>1235</v>
      </c>
      <c r="GI15" s="122"/>
      <c r="GM15" s="935" t="s">
        <v>2360</v>
      </c>
      <c r="GP15" s="1053" t="s">
        <v>1232</v>
      </c>
      <c r="GQ15" s="1055" t="s">
        <v>1233</v>
      </c>
      <c r="GR15" s="1055" t="s">
        <v>24</v>
      </c>
      <c r="GS15" s="1055" t="s">
        <v>1234</v>
      </c>
      <c r="GT15" s="1230" t="s">
        <v>1216</v>
      </c>
      <c r="GU15" s="1231"/>
      <c r="GV15" s="133" t="s">
        <v>1235</v>
      </c>
      <c r="GW15" s="122"/>
      <c r="HA15" s="935" t="s">
        <v>2360</v>
      </c>
      <c r="HD15" s="1053" t="s">
        <v>1232</v>
      </c>
      <c r="HE15" s="1055" t="s">
        <v>1233</v>
      </c>
      <c r="HF15" s="1055" t="s">
        <v>24</v>
      </c>
      <c r="HG15" s="1055" t="s">
        <v>1234</v>
      </c>
      <c r="HH15" s="1230" t="s">
        <v>1216</v>
      </c>
      <c r="HI15" s="1231"/>
      <c r="HJ15" s="133" t="s">
        <v>1235</v>
      </c>
      <c r="HK15" s="122"/>
      <c r="HO15" s="935" t="s">
        <v>2360</v>
      </c>
      <c r="HR15" s="1053" t="s">
        <v>1232</v>
      </c>
      <c r="HS15" s="1055" t="s">
        <v>1233</v>
      </c>
      <c r="HT15" s="1055" t="s">
        <v>24</v>
      </c>
      <c r="HU15" s="1055" t="s">
        <v>1234</v>
      </c>
      <c r="HV15" s="1230" t="s">
        <v>1216</v>
      </c>
      <c r="HW15" s="1231"/>
      <c r="HX15" s="133" t="s">
        <v>1235</v>
      </c>
      <c r="HY15" s="122"/>
      <c r="IC15" s="935" t="s">
        <v>2360</v>
      </c>
      <c r="IF15" s="1053" t="s">
        <v>1232</v>
      </c>
      <c r="IG15" s="1055" t="s">
        <v>1233</v>
      </c>
      <c r="IH15" s="1055" t="s">
        <v>24</v>
      </c>
      <c r="II15" s="1055" t="s">
        <v>1234</v>
      </c>
      <c r="IJ15" s="1230" t="s">
        <v>1216</v>
      </c>
      <c r="IK15" s="1231"/>
      <c r="IL15" s="133" t="s">
        <v>1235</v>
      </c>
      <c r="IM15" s="122"/>
      <c r="IQ15" s="935" t="s">
        <v>2360</v>
      </c>
      <c r="IT15" s="1053" t="s">
        <v>1232</v>
      </c>
      <c r="IU15" s="1055" t="s">
        <v>1233</v>
      </c>
      <c r="IV15" s="1055" t="s">
        <v>24</v>
      </c>
      <c r="IW15" s="1055" t="s">
        <v>1234</v>
      </c>
      <c r="IX15" s="1230" t="s">
        <v>1216</v>
      </c>
      <c r="IY15" s="1231"/>
      <c r="IZ15" s="133" t="s">
        <v>1235</v>
      </c>
      <c r="JA15" s="122"/>
      <c r="JE15" s="935" t="s">
        <v>2360</v>
      </c>
      <c r="JH15" s="1053" t="s">
        <v>1232</v>
      </c>
      <c r="JI15" s="1055" t="s">
        <v>1233</v>
      </c>
      <c r="JJ15" s="1055" t="s">
        <v>24</v>
      </c>
      <c r="JK15" s="1055" t="s">
        <v>1234</v>
      </c>
      <c r="JL15" s="1230" t="s">
        <v>1216</v>
      </c>
      <c r="JM15" s="1231"/>
      <c r="JN15" s="133" t="s">
        <v>1235</v>
      </c>
      <c r="JO15" s="122"/>
      <c r="JS15" s="935" t="s">
        <v>2360</v>
      </c>
      <c r="JV15" s="1053" t="s">
        <v>1232</v>
      </c>
      <c r="JW15" s="1055" t="s">
        <v>1233</v>
      </c>
      <c r="JX15" s="1055" t="s">
        <v>24</v>
      </c>
      <c r="JY15" s="1055" t="s">
        <v>1234</v>
      </c>
      <c r="JZ15" s="1230" t="s">
        <v>1216</v>
      </c>
      <c r="KA15" s="1231"/>
      <c r="KB15" s="133" t="s">
        <v>1235</v>
      </c>
      <c r="KC15" s="122"/>
      <c r="KG15" s="935" t="s">
        <v>2360</v>
      </c>
      <c r="KJ15" s="1053" t="s">
        <v>1232</v>
      </c>
      <c r="KK15" s="1055" t="s">
        <v>1233</v>
      </c>
      <c r="KL15" s="1055" t="s">
        <v>24</v>
      </c>
      <c r="KM15" s="1055" t="s">
        <v>1234</v>
      </c>
      <c r="KN15" s="1230" t="s">
        <v>1216</v>
      </c>
      <c r="KO15" s="1231"/>
      <c r="KP15" s="133" t="s">
        <v>1235</v>
      </c>
      <c r="KQ15" s="122"/>
      <c r="KU15" s="935" t="s">
        <v>2360</v>
      </c>
      <c r="KX15" s="1053" t="s">
        <v>1232</v>
      </c>
      <c r="KY15" s="1055" t="s">
        <v>1233</v>
      </c>
      <c r="KZ15" s="1055" t="s">
        <v>24</v>
      </c>
      <c r="LA15" s="1055" t="s">
        <v>1234</v>
      </c>
      <c r="LB15" s="1230" t="s">
        <v>1216</v>
      </c>
      <c r="LC15" s="1231"/>
      <c r="LD15" s="133" t="s">
        <v>1235</v>
      </c>
      <c r="LE15" s="122"/>
      <c r="LI15" s="935" t="s">
        <v>2360</v>
      </c>
      <c r="LL15" s="1053" t="s">
        <v>1232</v>
      </c>
      <c r="LM15" s="1055" t="s">
        <v>1233</v>
      </c>
      <c r="LN15" s="1055" t="s">
        <v>24</v>
      </c>
      <c r="LO15" s="1055" t="s">
        <v>1234</v>
      </c>
      <c r="LP15" s="1230" t="s">
        <v>1216</v>
      </c>
      <c r="LQ15" s="1231"/>
      <c r="LR15" s="133" t="s">
        <v>1235</v>
      </c>
      <c r="LS15" s="122"/>
      <c r="LW15" s="935" t="s">
        <v>2360</v>
      </c>
      <c r="LZ15" s="1053" t="s">
        <v>1232</v>
      </c>
      <c r="MA15" s="1055" t="s">
        <v>1233</v>
      </c>
      <c r="MB15" s="1055" t="s">
        <v>24</v>
      </c>
      <c r="MC15" s="1055" t="s">
        <v>1234</v>
      </c>
      <c r="MD15" s="1230" t="s">
        <v>1216</v>
      </c>
      <c r="ME15" s="1231"/>
      <c r="MF15" s="133" t="s">
        <v>1235</v>
      </c>
      <c r="MG15" s="122"/>
      <c r="MK15" s="935" t="s">
        <v>2360</v>
      </c>
      <c r="MN15" s="1053" t="s">
        <v>1232</v>
      </c>
      <c r="MO15" s="1055" t="s">
        <v>1233</v>
      </c>
      <c r="MP15" s="1055" t="s">
        <v>24</v>
      </c>
      <c r="MQ15" s="1055" t="s">
        <v>1234</v>
      </c>
      <c r="MR15" s="1230" t="s">
        <v>1216</v>
      </c>
      <c r="MS15" s="1231"/>
      <c r="MT15" s="133" t="s">
        <v>1235</v>
      </c>
      <c r="MU15" s="122"/>
      <c r="MY15" s="935" t="s">
        <v>2360</v>
      </c>
      <c r="NB15" s="1053" t="s">
        <v>1232</v>
      </c>
      <c r="NC15" s="1055" t="s">
        <v>1233</v>
      </c>
      <c r="ND15" s="1055" t="s">
        <v>24</v>
      </c>
      <c r="NE15" s="1055" t="s">
        <v>1234</v>
      </c>
      <c r="NF15" s="1230" t="s">
        <v>1216</v>
      </c>
      <c r="NG15" s="1231"/>
      <c r="NH15" s="133" t="s">
        <v>1235</v>
      </c>
      <c r="NI15" s="122"/>
      <c r="NM15" s="935" t="s">
        <v>2360</v>
      </c>
      <c r="NP15" s="1053" t="s">
        <v>1232</v>
      </c>
      <c r="NQ15" s="1055" t="s">
        <v>1233</v>
      </c>
      <c r="NR15" s="1055" t="s">
        <v>24</v>
      </c>
      <c r="NS15" s="1055" t="s">
        <v>1234</v>
      </c>
      <c r="NT15" s="1230" t="s">
        <v>1216</v>
      </c>
      <c r="NU15" s="1231"/>
      <c r="NV15" s="133" t="s">
        <v>1235</v>
      </c>
      <c r="NW15" s="122"/>
      <c r="OA15" s="935" t="s">
        <v>2360</v>
      </c>
      <c r="OD15" s="1053" t="s">
        <v>1232</v>
      </c>
      <c r="OE15" s="1055" t="s">
        <v>1233</v>
      </c>
      <c r="OF15" s="1055" t="s">
        <v>24</v>
      </c>
      <c r="OG15" s="1055" t="s">
        <v>1234</v>
      </c>
      <c r="OH15" s="1230" t="s">
        <v>1216</v>
      </c>
      <c r="OI15" s="1231"/>
      <c r="OJ15" s="133" t="s">
        <v>1235</v>
      </c>
      <c r="OK15" s="122"/>
      <c r="OO15" s="935" t="s">
        <v>2360</v>
      </c>
      <c r="OR15" s="1053" t="s">
        <v>1232</v>
      </c>
      <c r="OS15" s="1055" t="s">
        <v>1233</v>
      </c>
      <c r="OT15" s="1055" t="s">
        <v>24</v>
      </c>
      <c r="OU15" s="1055" t="s">
        <v>1234</v>
      </c>
      <c r="OV15" s="1230" t="s">
        <v>1216</v>
      </c>
      <c r="OW15" s="1231"/>
      <c r="OX15" s="133" t="s">
        <v>1235</v>
      </c>
      <c r="OY15" s="122"/>
      <c r="PC15" s="935" t="s">
        <v>2360</v>
      </c>
      <c r="PF15" s="1053" t="s">
        <v>1232</v>
      </c>
      <c r="PG15" s="1055" t="s">
        <v>1233</v>
      </c>
      <c r="PH15" s="1055" t="s">
        <v>24</v>
      </c>
      <c r="PI15" s="1055" t="s">
        <v>1234</v>
      </c>
      <c r="PJ15" s="1230" t="s">
        <v>1216</v>
      </c>
      <c r="PK15" s="1231"/>
      <c r="PL15" s="133" t="s">
        <v>1235</v>
      </c>
      <c r="PM15" s="122"/>
      <c r="PQ15" s="935" t="s">
        <v>2360</v>
      </c>
      <c r="PT15" s="1053" t="s">
        <v>1232</v>
      </c>
      <c r="PU15" s="1055" t="s">
        <v>1233</v>
      </c>
      <c r="PV15" s="1055" t="s">
        <v>24</v>
      </c>
      <c r="PW15" s="1055" t="s">
        <v>1234</v>
      </c>
      <c r="PX15" s="1230" t="s">
        <v>1216</v>
      </c>
      <c r="PY15" s="1231"/>
      <c r="PZ15" s="133" t="s">
        <v>1235</v>
      </c>
      <c r="QA15" s="122"/>
      <c r="QE15" s="935" t="s">
        <v>2360</v>
      </c>
      <c r="QH15" s="1053" t="s">
        <v>1232</v>
      </c>
      <c r="QI15" s="1055" t="s">
        <v>1233</v>
      </c>
      <c r="QJ15" s="1055" t="s">
        <v>24</v>
      </c>
      <c r="QK15" s="1055" t="s">
        <v>1234</v>
      </c>
      <c r="QL15" s="1230" t="s">
        <v>1216</v>
      </c>
      <c r="QM15" s="1231"/>
      <c r="QN15" s="133" t="s">
        <v>1235</v>
      </c>
      <c r="QO15" s="122"/>
      <c r="QS15" s="935" t="s">
        <v>2360</v>
      </c>
      <c r="QV15" s="1053" t="s">
        <v>1232</v>
      </c>
      <c r="QW15" s="1055" t="s">
        <v>1233</v>
      </c>
      <c r="QX15" s="1055" t="s">
        <v>24</v>
      </c>
      <c r="QY15" s="1055" t="s">
        <v>1234</v>
      </c>
      <c r="QZ15" s="1230" t="s">
        <v>1216</v>
      </c>
      <c r="RA15" s="1231"/>
      <c r="RB15" s="133" t="s">
        <v>1235</v>
      </c>
      <c r="RC15" s="122"/>
      <c r="RG15" s="935" t="s">
        <v>2360</v>
      </c>
      <c r="RJ15" s="1053" t="s">
        <v>1232</v>
      </c>
      <c r="RK15" s="1055" t="s">
        <v>1233</v>
      </c>
      <c r="RL15" s="1055" t="s">
        <v>24</v>
      </c>
      <c r="RM15" s="1055" t="s">
        <v>1234</v>
      </c>
      <c r="RN15" s="1230" t="s">
        <v>1216</v>
      </c>
      <c r="RO15" s="1231"/>
      <c r="RP15" s="133" t="s">
        <v>1235</v>
      </c>
      <c r="RQ15" s="122"/>
      <c r="RU15" s="935" t="s">
        <v>2360</v>
      </c>
      <c r="RX15" s="1053" t="s">
        <v>1232</v>
      </c>
      <c r="RY15" s="1055" t="s">
        <v>1233</v>
      </c>
      <c r="RZ15" s="1055" t="s">
        <v>24</v>
      </c>
      <c r="SA15" s="1055" t="s">
        <v>1234</v>
      </c>
      <c r="SB15" s="1230" t="s">
        <v>1216</v>
      </c>
      <c r="SC15" s="1231"/>
      <c r="SD15" s="133" t="s">
        <v>1235</v>
      </c>
      <c r="SE15" s="122"/>
      <c r="SI15" s="935" t="s">
        <v>2360</v>
      </c>
      <c r="SL15" s="1053" t="s">
        <v>1232</v>
      </c>
      <c r="SM15" s="1055" t="s">
        <v>1233</v>
      </c>
      <c r="SN15" s="1055" t="s">
        <v>24</v>
      </c>
      <c r="SO15" s="1055" t="s">
        <v>1234</v>
      </c>
      <c r="SP15" s="1230" t="s">
        <v>1216</v>
      </c>
      <c r="SQ15" s="1231"/>
      <c r="SR15" s="133" t="s">
        <v>1235</v>
      </c>
      <c r="SS15" s="122"/>
      <c r="SW15" s="935" t="s">
        <v>2360</v>
      </c>
      <c r="SZ15" s="914" t="s">
        <v>1232</v>
      </c>
      <c r="TA15" s="913" t="s">
        <v>1233</v>
      </c>
      <c r="TB15" s="913" t="s">
        <v>24</v>
      </c>
      <c r="TC15" s="913" t="s">
        <v>1234</v>
      </c>
      <c r="TD15" s="1230" t="s">
        <v>1216</v>
      </c>
      <c r="TE15" s="1231"/>
      <c r="TF15" s="133" t="s">
        <v>1235</v>
      </c>
      <c r="TG15" s="122"/>
      <c r="TK15" s="935" t="s">
        <v>2360</v>
      </c>
    </row>
    <row r="16" spans="1:531" ht="15.75" customHeight="1">
      <c r="A16" s="105">
        <v>14</v>
      </c>
      <c r="B16" s="1232" t="s">
        <v>2329</v>
      </c>
      <c r="C16" s="503" t="str">
        <f>+'Componentes T.H.'!B6</f>
        <v xml:space="preserve">Coordinador General </v>
      </c>
      <c r="D16" s="504">
        <f>+VLOOKUP(B13,'Cost x Depart'!$A$2:$AL$1275,A16,0)</f>
        <v>1</v>
      </c>
      <c r="E16" s="505">
        <f>+'Componentes T.H.'!$T$6</f>
        <v>1</v>
      </c>
      <c r="F16" s="1236">
        <f>+'Componentes T.H.'!$Q$6</f>
        <v>2931352.8275333336</v>
      </c>
      <c r="G16" s="1239"/>
      <c r="H16" s="431">
        <f>+D16*E16*F16*E11</f>
        <v>14656764.137666669</v>
      </c>
      <c r="I16" s="123"/>
      <c r="J16" s="124"/>
      <c r="K16" s="124"/>
      <c r="L16" s="124"/>
      <c r="M16" s="936">
        <f>+H16/H65</f>
        <v>5.0208698893977558E-3</v>
      </c>
      <c r="O16" s="105">
        <v>14</v>
      </c>
      <c r="P16" s="1232" t="s">
        <v>2329</v>
      </c>
      <c r="Q16" s="503" t="str">
        <f t="shared" ref="Q16:Q20" si="31">+C16</f>
        <v xml:space="preserve">Coordinador General </v>
      </c>
      <c r="R16" s="504">
        <f>+VLOOKUP(P13,'Cost x Depart'!$A$2:$AL$1275,O16,0)</f>
        <v>0.6</v>
      </c>
      <c r="S16" s="505">
        <f>+'Componentes T.H.'!$T$6</f>
        <v>1</v>
      </c>
      <c r="T16" s="1235">
        <f>+'Componentes T.H.'!$Q$6</f>
        <v>2931352.8275333336</v>
      </c>
      <c r="U16" s="1236"/>
      <c r="V16" s="431">
        <f t="shared" ref="V16" si="32">+R16*S16*T16*S11</f>
        <v>8794058.4825999998</v>
      </c>
      <c r="W16" s="123"/>
      <c r="X16" s="124"/>
      <c r="Y16" s="124"/>
      <c r="Z16" s="124"/>
      <c r="AA16" s="936">
        <f t="shared" ref="AA16" si="33">+V16/V65</f>
        <v>1.2812428268250879E-2</v>
      </c>
      <c r="AC16" s="105">
        <v>10</v>
      </c>
      <c r="AD16" s="1232" t="s">
        <v>2329</v>
      </c>
      <c r="AE16" s="503" t="str">
        <f t="shared" ref="AE16:AE20" si="34">+Q16</f>
        <v xml:space="preserve">Coordinador General </v>
      </c>
      <c r="AF16" s="504">
        <f t="shared" ref="AF16:AF20" si="35">+R16+D16</f>
        <v>1.6</v>
      </c>
      <c r="AG16" s="505">
        <f>+'Componentes T.H.'!$T$6</f>
        <v>1</v>
      </c>
      <c r="AH16" s="1235">
        <f>+'Componentes T.H.'!$Q$6</f>
        <v>2931352.8275333336</v>
      </c>
      <c r="AI16" s="1236"/>
      <c r="AJ16" s="431">
        <f t="shared" ref="AJ16" si="36">+AF16*AG16*AH16*AG11</f>
        <v>23450822.620266672</v>
      </c>
      <c r="AK16" s="123"/>
      <c r="AL16" s="124"/>
      <c r="AM16" s="124"/>
      <c r="AN16" s="124"/>
      <c r="AO16" s="936">
        <f t="shared" ref="AO16" si="37">+AJ16/AJ65</f>
        <v>6.504112504007592E-3</v>
      </c>
      <c r="AQ16" s="105">
        <v>14</v>
      </c>
      <c r="AR16" s="1232" t="s">
        <v>2329</v>
      </c>
      <c r="AS16" s="503" t="str">
        <f t="shared" ref="AS16:AS20" si="38">+AE16</f>
        <v xml:space="preserve">Coordinador General </v>
      </c>
      <c r="AT16" s="504">
        <f>+VLOOKUP(AR13,'Cost x Depart'!$A$2:$AL$1275,AQ16,0)</f>
        <v>0.8</v>
      </c>
      <c r="AU16" s="505">
        <f>+'Componentes T.H.'!$T$6</f>
        <v>1</v>
      </c>
      <c r="AV16" s="1235">
        <f>+'Componentes T.H.'!$Q$6</f>
        <v>2931352.8275333336</v>
      </c>
      <c r="AW16" s="1236"/>
      <c r="AX16" s="431">
        <f t="shared" ref="AX16" si="39">+AT16*AU16*AV16*AU11</f>
        <v>11725411.310133336</v>
      </c>
      <c r="AY16" s="123"/>
      <c r="AZ16" s="124"/>
      <c r="BA16" s="124"/>
      <c r="BB16" s="124"/>
      <c r="BC16" s="936">
        <f t="shared" ref="BC16" si="40">+AX16/AX65</f>
        <v>1.1263652875953696E-2</v>
      </c>
      <c r="BE16" s="105">
        <v>14</v>
      </c>
      <c r="BF16" s="1232" t="s">
        <v>2329</v>
      </c>
      <c r="BG16" s="503" t="str">
        <f t="shared" ref="BG16:BG20" si="41">+AS16</f>
        <v xml:space="preserve">Coordinador General </v>
      </c>
      <c r="BH16" s="504">
        <f>+VLOOKUP(BF13,'Cost x Depart'!$A$2:$AL$1275,BE16,0)</f>
        <v>0.8</v>
      </c>
      <c r="BI16" s="505">
        <f>+'Componentes T.H.'!$T$6</f>
        <v>1</v>
      </c>
      <c r="BJ16" s="1235">
        <f>+'Componentes T.H.'!$Q$6</f>
        <v>2931352.8275333336</v>
      </c>
      <c r="BK16" s="1236"/>
      <c r="BL16" s="431">
        <f t="shared" ref="BL16" si="42">+BH16*BI16*BJ16*BI11</f>
        <v>11725411.310133336</v>
      </c>
      <c r="BM16" s="123"/>
      <c r="BN16" s="124"/>
      <c r="BO16" s="124"/>
      <c r="BP16" s="124"/>
      <c r="BQ16" s="936">
        <f t="shared" ref="BQ16" si="43">+BL16/BL65</f>
        <v>7.8512942422609266E-3</v>
      </c>
      <c r="BS16" s="105">
        <v>14</v>
      </c>
      <c r="BT16" s="1232" t="s">
        <v>2329</v>
      </c>
      <c r="BU16" s="503" t="str">
        <f t="shared" ref="BU16:BU20" si="44">+BG16</f>
        <v xml:space="preserve">Coordinador General </v>
      </c>
      <c r="BV16" s="504">
        <f>+VLOOKUP(BT13,'Cost x Depart'!$A$2:$AL$1275,BS16,0)</f>
        <v>0.8</v>
      </c>
      <c r="BW16" s="505">
        <f>+'Componentes T.H.'!$T$6</f>
        <v>1</v>
      </c>
      <c r="BX16" s="1235">
        <f>+'Componentes T.H.'!$Q$6</f>
        <v>2931352.8275333336</v>
      </c>
      <c r="BY16" s="1236"/>
      <c r="BZ16" s="431">
        <f t="shared" ref="BZ16" si="45">+BV16*BW16*BX16*BW11</f>
        <v>11725411.310133336</v>
      </c>
      <c r="CA16" s="123"/>
      <c r="CB16" s="124"/>
      <c r="CC16" s="124"/>
      <c r="CD16" s="124"/>
      <c r="CE16" s="936">
        <f t="shared" ref="CE16" si="46">+BZ16/BZ65</f>
        <v>9.1772398618158689E-3</v>
      </c>
      <c r="CG16" s="105">
        <v>14</v>
      </c>
      <c r="CH16" s="1232" t="s">
        <v>2329</v>
      </c>
      <c r="CI16" s="503" t="str">
        <f t="shared" ref="CI16:CI20" si="47">+BU16</f>
        <v xml:space="preserve">Coordinador General </v>
      </c>
      <c r="CJ16" s="504">
        <f>+VLOOKUP(CH13,'Cost x Depart'!$A$2:$AL$1275,CG16,0)</f>
        <v>0.8</v>
      </c>
      <c r="CK16" s="505">
        <f>+'Componentes T.H.'!$T$6</f>
        <v>1</v>
      </c>
      <c r="CL16" s="1235">
        <f>+'Componentes T.H.'!$Q$6</f>
        <v>2931352.8275333336</v>
      </c>
      <c r="CM16" s="1236"/>
      <c r="CN16" s="431">
        <f t="shared" ref="CN16" si="48">+CJ16*CK16*CL16*CK11</f>
        <v>11725411.310133336</v>
      </c>
      <c r="CO16" s="123"/>
      <c r="CP16" s="124"/>
      <c r="CQ16" s="124"/>
      <c r="CR16" s="124"/>
      <c r="CS16" s="936">
        <f t="shared" ref="CS16" si="49">+CN16/CN65</f>
        <v>9.1810745650891049E-3</v>
      </c>
      <c r="CU16" s="105">
        <v>14</v>
      </c>
      <c r="CV16" s="1232" t="s">
        <v>2329</v>
      </c>
      <c r="CW16" s="503" t="str">
        <f t="shared" ref="CW16:CW20" si="50">+CI16</f>
        <v xml:space="preserve">Coordinador General </v>
      </c>
      <c r="CX16" s="504">
        <f>+VLOOKUP(CV13,'Cost x Depart'!$A$2:$AL$1275,CU16,0)</f>
        <v>0.6</v>
      </c>
      <c r="CY16" s="505">
        <f>+'Componentes T.H.'!$T$6</f>
        <v>1</v>
      </c>
      <c r="CZ16" s="1235">
        <f>+'Componentes T.H.'!$Q$6</f>
        <v>2931352.8275333336</v>
      </c>
      <c r="DA16" s="1236"/>
      <c r="DB16" s="431">
        <f t="shared" ref="DB16" si="51">+CX16*CY16*CZ16*CY11</f>
        <v>8794058.4825999998</v>
      </c>
      <c r="DC16" s="123"/>
      <c r="DD16" s="124"/>
      <c r="DE16" s="124"/>
      <c r="DF16" s="124"/>
      <c r="DG16" s="936">
        <f t="shared" ref="DG16" si="52">+DB16/DB65</f>
        <v>1.2553888222788358E-2</v>
      </c>
      <c r="DI16" s="105">
        <v>14</v>
      </c>
      <c r="DJ16" s="1232" t="s">
        <v>2329</v>
      </c>
      <c r="DK16" s="503" t="str">
        <f t="shared" ref="DK16:DK20" si="53">+CW16</f>
        <v xml:space="preserve">Coordinador General </v>
      </c>
      <c r="DL16" s="504">
        <f>+VLOOKUP(DJ13,'Cost x Depart'!$A$2:$AL$1275,DI16,0)</f>
        <v>0.8</v>
      </c>
      <c r="DM16" s="505">
        <f>+'Componentes T.H.'!$T$6</f>
        <v>1</v>
      </c>
      <c r="DN16" s="1235">
        <f>+'Componentes T.H.'!$Q$6</f>
        <v>2931352.8275333336</v>
      </c>
      <c r="DO16" s="1236"/>
      <c r="DP16" s="431">
        <f t="shared" ref="DP16" si="54">+DL16*DM16*DN16*DM11</f>
        <v>11725411.310133336</v>
      </c>
      <c r="DQ16" s="123"/>
      <c r="DR16" s="124"/>
      <c r="DS16" s="124"/>
      <c r="DT16" s="124"/>
      <c r="DU16" s="936">
        <f t="shared" ref="DU16" si="55">+DP16/DP65</f>
        <v>8.2334501612062565E-3</v>
      </c>
      <c r="DW16" s="105">
        <v>14</v>
      </c>
      <c r="DX16" s="1232" t="s">
        <v>2329</v>
      </c>
      <c r="DY16" s="503" t="str">
        <f t="shared" ref="DY16:DY20" si="56">+DK16</f>
        <v xml:space="preserve">Coordinador General </v>
      </c>
      <c r="DZ16" s="504">
        <f>+VLOOKUP(DX13,'Cost x Depart'!$A$2:$AL$1275,DW16,0)</f>
        <v>0.8</v>
      </c>
      <c r="EA16" s="505">
        <f>+'Componentes T.H.'!$T$6</f>
        <v>1</v>
      </c>
      <c r="EB16" s="1235">
        <f>+'Componentes T.H.'!$Q$6</f>
        <v>2931352.8275333336</v>
      </c>
      <c r="EC16" s="1236"/>
      <c r="ED16" s="431">
        <f t="shared" ref="ED16" si="57">+DZ16*EA16*EB16*EA11</f>
        <v>11725411.310133336</v>
      </c>
      <c r="EE16" s="123"/>
      <c r="EF16" s="124"/>
      <c r="EG16" s="124"/>
      <c r="EH16" s="124"/>
      <c r="EI16" s="936">
        <f t="shared" ref="EI16" si="58">+ED16/ED65</f>
        <v>1.1462935416793453E-2</v>
      </c>
      <c r="EK16" s="105">
        <v>14</v>
      </c>
      <c r="EL16" s="1232" t="s">
        <v>2329</v>
      </c>
      <c r="EM16" s="503" t="str">
        <f t="shared" ref="EM16:EM20" si="59">+DY16</f>
        <v xml:space="preserve">Coordinador General </v>
      </c>
      <c r="EN16" s="504">
        <f>+VLOOKUP(EL13,'Cost x Depart'!$A$2:$AL$1275,EK16,0)</f>
        <v>0.8</v>
      </c>
      <c r="EO16" s="505">
        <f>+'Componentes T.H.'!$T$6</f>
        <v>1</v>
      </c>
      <c r="EP16" s="1235">
        <f>+'Componentes T.H.'!$Q$6</f>
        <v>2931352.8275333336</v>
      </c>
      <c r="EQ16" s="1236"/>
      <c r="ER16" s="431">
        <f t="shared" ref="ER16" si="60">+EN16*EO16*EP16*EO11</f>
        <v>11725411.310133336</v>
      </c>
      <c r="ES16" s="123"/>
      <c r="ET16" s="124"/>
      <c r="EU16" s="124"/>
      <c r="EV16" s="124"/>
      <c r="EW16" s="936">
        <f t="shared" ref="EW16" si="61">+ER16/ER65</f>
        <v>8.0463065271721666E-3</v>
      </c>
      <c r="EY16" s="105">
        <v>14</v>
      </c>
      <c r="EZ16" s="1232" t="s">
        <v>2329</v>
      </c>
      <c r="FA16" s="503" t="str">
        <f t="shared" ref="FA16:FA20" si="62">+EM16</f>
        <v xml:space="preserve">Coordinador General </v>
      </c>
      <c r="FB16" s="504">
        <f>+VLOOKUP(EZ13,'Cost x Depart'!$A$2:$AL$1275,EY16,0)</f>
        <v>0.8</v>
      </c>
      <c r="FC16" s="505">
        <f>+'Componentes T.H.'!$T$6</f>
        <v>1</v>
      </c>
      <c r="FD16" s="1235">
        <f>+'Componentes T.H.'!$Q$6</f>
        <v>2931352.8275333336</v>
      </c>
      <c r="FE16" s="1236"/>
      <c r="FF16" s="431">
        <f t="shared" ref="FF16" si="63">+FB16*FC16*FD16*FC11</f>
        <v>11725411.310133336</v>
      </c>
      <c r="FG16" s="123"/>
      <c r="FH16" s="124"/>
      <c r="FI16" s="124"/>
      <c r="FJ16" s="124"/>
      <c r="FK16" s="936">
        <f t="shared" ref="FK16" si="64">+FF16/FF65</f>
        <v>7.4800023393994039E-3</v>
      </c>
      <c r="FM16" s="105">
        <v>14</v>
      </c>
      <c r="FN16" s="1232" t="s">
        <v>2329</v>
      </c>
      <c r="FO16" s="503" t="str">
        <f t="shared" ref="FO16:FO20" si="65">+FA16</f>
        <v xml:space="preserve">Coordinador General </v>
      </c>
      <c r="FP16" s="504">
        <f>+VLOOKUP(FN13,'Cost x Depart'!$A$2:$AL$1275,FM16,0)</f>
        <v>0.8</v>
      </c>
      <c r="FQ16" s="505">
        <f>+'Componentes T.H.'!$T$6</f>
        <v>1</v>
      </c>
      <c r="FR16" s="1235">
        <f>+'Componentes T.H.'!$Q$6</f>
        <v>2931352.8275333336</v>
      </c>
      <c r="FS16" s="1236"/>
      <c r="FT16" s="431">
        <f t="shared" ref="FT16" si="66">+FP16*FQ16*FR16*FQ11</f>
        <v>11725411.310133336</v>
      </c>
      <c r="FU16" s="123"/>
      <c r="FV16" s="124"/>
      <c r="FW16" s="124"/>
      <c r="FX16" s="124"/>
      <c r="FY16" s="936">
        <f t="shared" ref="FY16" si="67">+FT16/FT65</f>
        <v>1.0280646113335045E-2</v>
      </c>
      <c r="GA16" s="105">
        <v>14</v>
      </c>
      <c r="GB16" s="1232" t="s">
        <v>2329</v>
      </c>
      <c r="GC16" s="503" t="str">
        <f t="shared" ref="GC16:GC20" si="68">+FO16</f>
        <v xml:space="preserve">Coordinador General </v>
      </c>
      <c r="GD16" s="504">
        <f>+VLOOKUP(GB13,'Cost x Depart'!$A$2:$AL$1275,GA16,0)</f>
        <v>0.6</v>
      </c>
      <c r="GE16" s="505">
        <f>+'Componentes T.H.'!$T$6</f>
        <v>1</v>
      </c>
      <c r="GF16" s="1235">
        <f>+'Componentes T.H.'!$Q$6</f>
        <v>2931352.8275333336</v>
      </c>
      <c r="GG16" s="1236"/>
      <c r="GH16" s="431">
        <f t="shared" ref="GH16" si="69">+GD16*GE16*GF16*GE11</f>
        <v>8794058.4825999998</v>
      </c>
      <c r="GI16" s="123"/>
      <c r="GJ16" s="124"/>
      <c r="GK16" s="124"/>
      <c r="GL16" s="124"/>
      <c r="GM16" s="936">
        <f t="shared" ref="GM16" si="70">+GH16/GH65</f>
        <v>9.9731328825497928E-3</v>
      </c>
      <c r="GO16" s="105">
        <v>14</v>
      </c>
      <c r="GP16" s="1232" t="s">
        <v>2329</v>
      </c>
      <c r="GQ16" s="503" t="str">
        <f t="shared" ref="GQ16:GQ20" si="71">+GC16</f>
        <v xml:space="preserve">Coordinador General </v>
      </c>
      <c r="GR16" s="504">
        <f>+VLOOKUP(GP13,'Cost x Depart'!$A$2:$AL$1275,GO16,0)</f>
        <v>0.6</v>
      </c>
      <c r="GS16" s="505">
        <f>+'Componentes T.H.'!$T$6</f>
        <v>1</v>
      </c>
      <c r="GT16" s="1235">
        <f>+'Componentes T.H.'!$Q$6</f>
        <v>2931352.8275333336</v>
      </c>
      <c r="GU16" s="1236"/>
      <c r="GV16" s="431">
        <f t="shared" ref="GV16" si="72">+GR16*GS16*GT16*GS11</f>
        <v>8794058.4825999998</v>
      </c>
      <c r="GW16" s="123"/>
      <c r="GX16" s="124"/>
      <c r="GY16" s="124"/>
      <c r="GZ16" s="124"/>
      <c r="HA16" s="936">
        <f t="shared" ref="HA16" si="73">+GV16/GV65</f>
        <v>1.5944337571815827E-2</v>
      </c>
      <c r="HC16" s="105">
        <v>14</v>
      </c>
      <c r="HD16" s="1232" t="s">
        <v>2329</v>
      </c>
      <c r="HE16" s="503" t="str">
        <f t="shared" ref="HE16:HE20" si="74">+GQ16</f>
        <v xml:space="preserve">Coordinador General </v>
      </c>
      <c r="HF16" s="504">
        <f>+VLOOKUP(HD13,'Cost x Depart'!$A$2:$AL$1275,HC16,0)</f>
        <v>1</v>
      </c>
      <c r="HG16" s="505">
        <f>+'Componentes T.H.'!$T$6</f>
        <v>1</v>
      </c>
      <c r="HH16" s="1235">
        <f>+'Componentes T.H.'!$Q$6</f>
        <v>2931352.8275333336</v>
      </c>
      <c r="HI16" s="1236"/>
      <c r="HJ16" s="431">
        <f t="shared" ref="HJ16" si="75">+HF16*HG16*HH16*HG11</f>
        <v>14656764.137666669</v>
      </c>
      <c r="HK16" s="123"/>
      <c r="HL16" s="124"/>
      <c r="HM16" s="124"/>
      <c r="HN16" s="124"/>
      <c r="HO16" s="936">
        <f t="shared" ref="HO16" si="76">+HJ16/HJ65</f>
        <v>8.272323424126338E-3</v>
      </c>
      <c r="HQ16" s="105">
        <v>14</v>
      </c>
      <c r="HR16" s="1232" t="s">
        <v>2329</v>
      </c>
      <c r="HS16" s="503" t="str">
        <f t="shared" ref="HS16:HS20" si="77">+HE16</f>
        <v xml:space="preserve">Coordinador General </v>
      </c>
      <c r="HT16" s="504">
        <f>+VLOOKUP(HR13,'Cost x Depart'!$A$2:$AL$1275,HQ16,0)</f>
        <v>0.6</v>
      </c>
      <c r="HU16" s="505">
        <f>+'Componentes T.H.'!$T$6</f>
        <v>1</v>
      </c>
      <c r="HV16" s="1235">
        <f>+'Componentes T.H.'!$Q$6</f>
        <v>2931352.8275333336</v>
      </c>
      <c r="HW16" s="1236"/>
      <c r="HX16" s="431">
        <f t="shared" ref="HX16" si="78">+HT16*HU16*HV16*HU11</f>
        <v>8794058.4825999998</v>
      </c>
      <c r="HY16" s="123"/>
      <c r="HZ16" s="124"/>
      <c r="IA16" s="124"/>
      <c r="IB16" s="124"/>
      <c r="IC16" s="936">
        <f t="shared" ref="IC16" si="79">+HX16/HX65</f>
        <v>1.413070860915466E-2</v>
      </c>
      <c r="IE16" s="105">
        <v>14</v>
      </c>
      <c r="IF16" s="1232" t="s">
        <v>2329</v>
      </c>
      <c r="IG16" s="503" t="str">
        <f t="shared" ref="IG16:IG20" si="80">+HS16</f>
        <v xml:space="preserve">Coordinador General </v>
      </c>
      <c r="IH16" s="504">
        <f>+VLOOKUP(IF13,'Cost x Depart'!$A$2:$AL$1275,IE16,0)</f>
        <v>0.6</v>
      </c>
      <c r="II16" s="505">
        <f>+'Componentes T.H.'!$T$6</f>
        <v>1</v>
      </c>
      <c r="IJ16" s="1235">
        <f>+'Componentes T.H.'!$Q$6</f>
        <v>2931352.8275333336</v>
      </c>
      <c r="IK16" s="1236"/>
      <c r="IL16" s="431">
        <f t="shared" ref="IL16" si="81">+IH16*II16*IJ16*II11</f>
        <v>8794058.4825999998</v>
      </c>
      <c r="IM16" s="123"/>
      <c r="IN16" s="124"/>
      <c r="IO16" s="124"/>
      <c r="IP16" s="124"/>
      <c r="IQ16" s="936">
        <f t="shared" ref="IQ16" si="82">+IL16/IL65</f>
        <v>2.1008029444207554E-2</v>
      </c>
      <c r="IS16" s="105">
        <v>14</v>
      </c>
      <c r="IT16" s="1232" t="s">
        <v>2329</v>
      </c>
      <c r="IU16" s="503" t="str">
        <f t="shared" ref="IU16:IU20" si="83">+IG16</f>
        <v xml:space="preserve">Coordinador General </v>
      </c>
      <c r="IV16" s="504">
        <f>+VLOOKUP(IT13,'Cost x Depart'!$A$2:$AL$1275,IS16,0)</f>
        <v>1</v>
      </c>
      <c r="IW16" s="505">
        <f>+'Componentes T.H.'!$T$6</f>
        <v>1</v>
      </c>
      <c r="IX16" s="1235">
        <f>+'Componentes T.H.'!$Q$6</f>
        <v>2931352.8275333336</v>
      </c>
      <c r="IY16" s="1236"/>
      <c r="IZ16" s="431">
        <f t="shared" ref="IZ16" si="84">+IV16*IW16*IX16*IW11</f>
        <v>14656764.137666669</v>
      </c>
      <c r="JA16" s="123"/>
      <c r="JB16" s="124"/>
      <c r="JC16" s="124"/>
      <c r="JD16" s="124"/>
      <c r="JE16" s="936">
        <f t="shared" ref="JE16" si="85">+IZ16/IZ65</f>
        <v>5.6305951562562071E-3</v>
      </c>
      <c r="JG16" s="105">
        <v>10</v>
      </c>
      <c r="JH16" s="1232" t="s">
        <v>2329</v>
      </c>
      <c r="JI16" s="503" t="str">
        <f t="shared" ref="JI16:JI20" si="86">+IU16</f>
        <v xml:space="preserve">Coordinador General </v>
      </c>
      <c r="JJ16" s="504">
        <f t="shared" ref="JJ16:JJ20" si="87">+IV16+IH16</f>
        <v>1.6</v>
      </c>
      <c r="JK16" s="505">
        <f>+'Componentes T.H.'!$T$6</f>
        <v>1</v>
      </c>
      <c r="JL16" s="1235">
        <f>+'Componentes T.H.'!$Q$6</f>
        <v>2931352.8275333336</v>
      </c>
      <c r="JM16" s="1236"/>
      <c r="JN16" s="431">
        <f t="shared" ref="JN16" si="88">+JJ16*JK16*JL16*JK11</f>
        <v>23450822.620266672</v>
      </c>
      <c r="JO16" s="123"/>
      <c r="JP16" s="124"/>
      <c r="JQ16" s="124"/>
      <c r="JR16" s="124"/>
      <c r="JS16" s="936">
        <f t="shared" ref="JS16" si="89">+JN16/JN65</f>
        <v>7.7609011009095123E-3</v>
      </c>
      <c r="JU16" s="105">
        <v>14</v>
      </c>
      <c r="JV16" s="1232" t="s">
        <v>2329</v>
      </c>
      <c r="JW16" s="503" t="str">
        <f t="shared" ref="JW16:JW20" si="90">+IU16</f>
        <v xml:space="preserve">Coordinador General </v>
      </c>
      <c r="JX16" s="504">
        <f>+VLOOKUP(JV13,'Cost x Depart'!$A$2:$AL$1275,JU16,0)</f>
        <v>0.6</v>
      </c>
      <c r="JY16" s="505">
        <f>+'Componentes T.H.'!$T$6</f>
        <v>1</v>
      </c>
      <c r="JZ16" s="1235">
        <f>+'Componentes T.H.'!$Q$6</f>
        <v>2931352.8275333336</v>
      </c>
      <c r="KA16" s="1236"/>
      <c r="KB16" s="431">
        <f t="shared" ref="KB16" si="91">+JX16*JY16*JZ16*JY11</f>
        <v>8794058.4825999998</v>
      </c>
      <c r="KC16" s="123"/>
      <c r="KD16" s="124"/>
      <c r="KE16" s="124"/>
      <c r="KF16" s="124"/>
      <c r="KG16" s="936">
        <f t="shared" ref="KG16" si="92">+KB16/KB65</f>
        <v>1.0027075866203194E-2</v>
      </c>
      <c r="KI16" s="105">
        <v>14</v>
      </c>
      <c r="KJ16" s="1232" t="s">
        <v>2329</v>
      </c>
      <c r="KK16" s="503" t="str">
        <f t="shared" ref="KK16:KK20" si="93">+JW16</f>
        <v xml:space="preserve">Coordinador General </v>
      </c>
      <c r="KL16" s="504">
        <f>+VLOOKUP(KJ13,'Cost x Depart'!$A$2:$AL$1275,KI16,0)</f>
        <v>0.6</v>
      </c>
      <c r="KM16" s="505">
        <f>+'Componentes T.H.'!$T$6</f>
        <v>1</v>
      </c>
      <c r="KN16" s="1235">
        <f>+'Componentes T.H.'!$Q$6</f>
        <v>2931352.8275333336</v>
      </c>
      <c r="KO16" s="1236"/>
      <c r="KP16" s="431">
        <f t="shared" ref="KP16" si="94">+KL16*KM16*KN16*KM11</f>
        <v>8794058.4825999998</v>
      </c>
      <c r="KQ16" s="123"/>
      <c r="KR16" s="124"/>
      <c r="KS16" s="124"/>
      <c r="KT16" s="124"/>
      <c r="KU16" s="936">
        <f t="shared" ref="KU16" si="95">+KP16/KP65</f>
        <v>1.6675011573204567E-2</v>
      </c>
      <c r="KW16" s="105">
        <v>14</v>
      </c>
      <c r="KX16" s="1232" t="s">
        <v>2329</v>
      </c>
      <c r="KY16" s="503" t="str">
        <f t="shared" ref="KY16:KY20" si="96">+KK16</f>
        <v xml:space="preserve">Coordinador General </v>
      </c>
      <c r="KZ16" s="504">
        <f>+VLOOKUP(KX13,'Cost x Depart'!$A$2:$AL$1275,KW16,0)</f>
        <v>0.6</v>
      </c>
      <c r="LA16" s="505">
        <f>+'Componentes T.H.'!$T$6</f>
        <v>1</v>
      </c>
      <c r="LB16" s="1235">
        <f>+'Componentes T.H.'!$Q$6</f>
        <v>2931352.8275333336</v>
      </c>
      <c r="LC16" s="1236"/>
      <c r="LD16" s="431">
        <f t="shared" ref="LD16" si="97">+KZ16*LA16*LB16*LA11</f>
        <v>8794058.4825999998</v>
      </c>
      <c r="LE16" s="123"/>
      <c r="LF16" s="124"/>
      <c r="LG16" s="124"/>
      <c r="LH16" s="124"/>
      <c r="LI16" s="936">
        <f t="shared" ref="LI16" si="98">+LD16/LD65</f>
        <v>2.0498576016215436E-2</v>
      </c>
      <c r="LK16" s="105">
        <v>14</v>
      </c>
      <c r="LL16" s="1232" t="s">
        <v>2329</v>
      </c>
      <c r="LM16" s="503" t="str">
        <f t="shared" ref="LM16:LM20" si="99">+KY16</f>
        <v xml:space="preserve">Coordinador General </v>
      </c>
      <c r="LN16" s="504">
        <f>+VLOOKUP(LL13,'Cost x Depart'!$A$2:$AL$1275,LK16,0)</f>
        <v>0.8</v>
      </c>
      <c r="LO16" s="505">
        <f>+'Componentes T.H.'!$T$6</f>
        <v>1</v>
      </c>
      <c r="LP16" s="1235">
        <f>+'Componentes T.H.'!$Q$6</f>
        <v>2931352.8275333336</v>
      </c>
      <c r="LQ16" s="1236"/>
      <c r="LR16" s="431">
        <f t="shared" ref="LR16" si="100">+LN16*LO16*LP16*LO11</f>
        <v>11725411.310133336</v>
      </c>
      <c r="LS16" s="123"/>
      <c r="LT16" s="124"/>
      <c r="LU16" s="124"/>
      <c r="LV16" s="124"/>
      <c r="LW16" s="936">
        <f t="shared" ref="LW16" si="101">+LR16/LR65</f>
        <v>1.0446406782557142E-2</v>
      </c>
      <c r="LY16" s="105">
        <v>14</v>
      </c>
      <c r="LZ16" s="1232" t="s">
        <v>2329</v>
      </c>
      <c r="MA16" s="503" t="str">
        <f t="shared" ref="MA16:MA20" si="102">+LM16</f>
        <v xml:space="preserve">Coordinador General </v>
      </c>
      <c r="MB16" s="504">
        <f>+VLOOKUP(LZ13,'Cost x Depart'!$A$2:$AL$1275,LY16,0)</f>
        <v>0.8</v>
      </c>
      <c r="MC16" s="505">
        <f>+'Componentes T.H.'!$T$6</f>
        <v>1</v>
      </c>
      <c r="MD16" s="1235">
        <f>+'Componentes T.H.'!$Q$6</f>
        <v>2931352.8275333336</v>
      </c>
      <c r="ME16" s="1236"/>
      <c r="MF16" s="431">
        <f t="shared" ref="MF16" si="103">+MB16*MC16*MD16*MC11</f>
        <v>11725411.310133336</v>
      </c>
      <c r="MG16" s="123"/>
      <c r="MH16" s="124"/>
      <c r="MI16" s="124"/>
      <c r="MJ16" s="124"/>
      <c r="MK16" s="936">
        <f t="shared" ref="MK16" si="104">+MF16/MF65</f>
        <v>1.0531307897998311E-2</v>
      </c>
      <c r="MM16" s="105">
        <v>14</v>
      </c>
      <c r="MN16" s="1232" t="s">
        <v>2329</v>
      </c>
      <c r="MO16" s="503" t="str">
        <f t="shared" ref="MO16:MO20" si="105">+MA16</f>
        <v xml:space="preserve">Coordinador General </v>
      </c>
      <c r="MP16" s="504">
        <f>+VLOOKUP(MN13,'Cost x Depart'!$A$2:$AL$1275,MM16,0)</f>
        <v>0.8</v>
      </c>
      <c r="MQ16" s="505">
        <f>+'Componentes T.H.'!$T$6</f>
        <v>1</v>
      </c>
      <c r="MR16" s="1235">
        <f>+'Componentes T.H.'!$Q$6</f>
        <v>2931352.8275333336</v>
      </c>
      <c r="MS16" s="1236"/>
      <c r="MT16" s="431">
        <f t="shared" ref="MT16" si="106">+MP16*MQ16*MR16*MQ11</f>
        <v>11725411.310133336</v>
      </c>
      <c r="MU16" s="123"/>
      <c r="MV16" s="124"/>
      <c r="MW16" s="124"/>
      <c r="MX16" s="124"/>
      <c r="MY16" s="936">
        <f t="shared" ref="MY16" si="107">+MT16/MT65</f>
        <v>1.029179312958561E-2</v>
      </c>
      <c r="NA16" s="105">
        <v>14</v>
      </c>
      <c r="NB16" s="1232" t="s">
        <v>2329</v>
      </c>
      <c r="NC16" s="503" t="str">
        <f t="shared" ref="NC16:NC20" si="108">+MO16</f>
        <v xml:space="preserve">Coordinador General </v>
      </c>
      <c r="ND16" s="504">
        <f>+VLOOKUP(NB13,'Cost x Depart'!$A$2:$AL$1275,NA16,0)</f>
        <v>1</v>
      </c>
      <c r="NE16" s="505">
        <f>+'Componentes T.H.'!$T$6</f>
        <v>1</v>
      </c>
      <c r="NF16" s="1235">
        <f>+'Componentes T.H.'!$Q$6</f>
        <v>2931352.8275333336</v>
      </c>
      <c r="NG16" s="1236"/>
      <c r="NH16" s="431">
        <f t="shared" ref="NH16" si="109">+ND16*NE16*NF16*NE11</f>
        <v>14656764.137666669</v>
      </c>
      <c r="NI16" s="123"/>
      <c r="NJ16" s="124"/>
      <c r="NK16" s="124"/>
      <c r="NL16" s="124"/>
      <c r="NM16" s="936">
        <f t="shared" ref="NM16" si="110">+NH16/NH65</f>
        <v>6.7220941761475268E-3</v>
      </c>
      <c r="NO16" s="105">
        <v>14</v>
      </c>
      <c r="NP16" s="1232" t="s">
        <v>2329</v>
      </c>
      <c r="NQ16" s="503" t="str">
        <f t="shared" ref="NQ16:NQ20" si="111">+NC16</f>
        <v xml:space="preserve">Coordinador General </v>
      </c>
      <c r="NR16" s="504">
        <f>+VLOOKUP(NP13,'Cost x Depart'!$A$2:$AL$1275,NO16,0)</f>
        <v>0.4</v>
      </c>
      <c r="NS16" s="505">
        <f>+'Componentes T.H.'!$T$6</f>
        <v>1</v>
      </c>
      <c r="NT16" s="1235">
        <f>+'Componentes T.H.'!$Q$6</f>
        <v>2931352.8275333336</v>
      </c>
      <c r="NU16" s="1236"/>
      <c r="NV16" s="431">
        <f t="shared" ref="NV16" si="112">+NR16*NS16*NT16*NS11</f>
        <v>5862705.6550666681</v>
      </c>
      <c r="NW16" s="123"/>
      <c r="NX16" s="124"/>
      <c r="NY16" s="124"/>
      <c r="NZ16" s="124"/>
      <c r="OA16" s="936">
        <f t="shared" ref="OA16" si="113">+NV16/NV65</f>
        <v>1.6890913924319833E-2</v>
      </c>
      <c r="OC16" s="105">
        <v>14</v>
      </c>
      <c r="OD16" s="1232" t="s">
        <v>2329</v>
      </c>
      <c r="OE16" s="503" t="str">
        <f t="shared" ref="OE16:OE20" si="114">+NQ16</f>
        <v xml:space="preserve">Coordinador General </v>
      </c>
      <c r="OF16" s="504">
        <f>+VLOOKUP(OD13,'Cost x Depart'!$A$2:$AL$1275,OC16,0)</f>
        <v>0.6</v>
      </c>
      <c r="OG16" s="505">
        <f>+'Componentes T.H.'!$T$6</f>
        <v>1</v>
      </c>
      <c r="OH16" s="1235">
        <f>+'Componentes T.H.'!$Q$6</f>
        <v>2931352.8275333336</v>
      </c>
      <c r="OI16" s="1236"/>
      <c r="OJ16" s="431">
        <f t="shared" ref="OJ16" si="115">+OF16*OG16*OH16*OG11</f>
        <v>8794058.4825999998</v>
      </c>
      <c r="OK16" s="123"/>
      <c r="OL16" s="124"/>
      <c r="OM16" s="124"/>
      <c r="ON16" s="124"/>
      <c r="OO16" s="936">
        <f t="shared" ref="OO16" si="116">+OJ16/OJ65</f>
        <v>1.9440458163216091E-2</v>
      </c>
      <c r="OQ16" s="105">
        <v>14</v>
      </c>
      <c r="OR16" s="1232" t="s">
        <v>2329</v>
      </c>
      <c r="OS16" s="503" t="str">
        <f t="shared" ref="OS16:OS20" si="117">+OE16</f>
        <v xml:space="preserve">Coordinador General </v>
      </c>
      <c r="OT16" s="504">
        <f>+VLOOKUP(OR13,'Cost x Depart'!$A$2:$AL$1275,OQ16,0)</f>
        <v>0.6</v>
      </c>
      <c r="OU16" s="505">
        <f>+'Componentes T.H.'!$T$6</f>
        <v>1</v>
      </c>
      <c r="OV16" s="1235">
        <f>+'Componentes T.H.'!$Q$6</f>
        <v>2931352.8275333336</v>
      </c>
      <c r="OW16" s="1236"/>
      <c r="OX16" s="431">
        <f t="shared" ref="OX16" si="118">+OT16*OU16*OV16*OU11</f>
        <v>8794058.4825999998</v>
      </c>
      <c r="OY16" s="123"/>
      <c r="OZ16" s="124"/>
      <c r="PA16" s="124"/>
      <c r="PB16" s="124"/>
      <c r="PC16" s="936">
        <f t="shared" ref="PC16" si="119">+OX16/OX65</f>
        <v>1.5387589041903118E-2</v>
      </c>
      <c r="PE16" s="105">
        <v>14</v>
      </c>
      <c r="PF16" s="1232" t="s">
        <v>2329</v>
      </c>
      <c r="PG16" s="503" t="str">
        <f t="shared" ref="PG16:PG20" si="120">+OS16</f>
        <v xml:space="preserve">Coordinador General </v>
      </c>
      <c r="PH16" s="504">
        <f>+VLOOKUP(PF13,'Cost x Depart'!$A$2:$AL$1275,PE16,0)</f>
        <v>0.4</v>
      </c>
      <c r="PI16" s="505">
        <f>+'Componentes T.H.'!$T$6</f>
        <v>1</v>
      </c>
      <c r="PJ16" s="1235">
        <f>+'Componentes T.H.'!$Q$6</f>
        <v>2931352.8275333336</v>
      </c>
      <c r="PK16" s="1236"/>
      <c r="PL16" s="431">
        <f t="shared" ref="PL16" si="121">+PH16*PI16*PJ16*PI11</f>
        <v>5862705.6550666681</v>
      </c>
      <c r="PM16" s="123"/>
      <c r="PN16" s="124"/>
      <c r="PO16" s="124"/>
      <c r="PP16" s="124"/>
      <c r="PQ16" s="936">
        <f t="shared" ref="PQ16" si="122">+PL16/PL65</f>
        <v>4.0340357474927417E-2</v>
      </c>
      <c r="PS16" s="105">
        <v>14</v>
      </c>
      <c r="PT16" s="1232" t="s">
        <v>2329</v>
      </c>
      <c r="PU16" s="503" t="str">
        <f t="shared" ref="PU16:PU20" si="123">+PG16</f>
        <v xml:space="preserve">Coordinador General </v>
      </c>
      <c r="PV16" s="504">
        <f>+VLOOKUP(PT13,'Cost x Depart'!$A$2:$AL$1275,PS16,0)</f>
        <v>0.4</v>
      </c>
      <c r="PW16" s="505">
        <f>+'Componentes T.H.'!$T$6</f>
        <v>1</v>
      </c>
      <c r="PX16" s="1235">
        <f>+'Componentes T.H.'!$Q$6</f>
        <v>2931352.8275333336</v>
      </c>
      <c r="PY16" s="1236"/>
      <c r="PZ16" s="431">
        <f t="shared" ref="PZ16" si="124">+PV16*PW16*PX16*PW11</f>
        <v>5862705.6550666681</v>
      </c>
      <c r="QA16" s="123"/>
      <c r="QB16" s="124"/>
      <c r="QC16" s="124"/>
      <c r="QD16" s="124"/>
      <c r="QE16" s="936">
        <f t="shared" ref="QE16" si="125">+PZ16/PZ65</f>
        <v>2.6139992116847505E-2</v>
      </c>
      <c r="QG16" s="105">
        <v>14</v>
      </c>
      <c r="QH16" s="1232" t="s">
        <v>2329</v>
      </c>
      <c r="QI16" s="503" t="str">
        <f t="shared" ref="QI16:QI20" si="126">+PU16</f>
        <v xml:space="preserve">Coordinador General </v>
      </c>
      <c r="QJ16" s="504">
        <f>+VLOOKUP(QH13,'Cost x Depart'!$A$2:$AL$1275,QG16,0)</f>
        <v>0.4</v>
      </c>
      <c r="QK16" s="505">
        <f>+'Componentes T.H.'!$T$6</f>
        <v>1</v>
      </c>
      <c r="QL16" s="1235">
        <f>+'Componentes T.H.'!$Q$6</f>
        <v>2931352.8275333336</v>
      </c>
      <c r="QM16" s="1236"/>
      <c r="QN16" s="431">
        <f t="shared" ref="QN16" si="127">+QJ16*QK16*QL16*QK11</f>
        <v>5862705.6550666681</v>
      </c>
      <c r="QO16" s="123"/>
      <c r="QP16" s="124"/>
      <c r="QQ16" s="124"/>
      <c r="QR16" s="124"/>
      <c r="QS16" s="936">
        <f t="shared" ref="QS16" si="128">+QN16/QN65</f>
        <v>6.9856125799698923E-2</v>
      </c>
      <c r="QU16" s="105">
        <v>14</v>
      </c>
      <c r="QV16" s="1232" t="s">
        <v>2329</v>
      </c>
      <c r="QW16" s="503" t="str">
        <f t="shared" ref="QW16:QW20" si="129">+QI16</f>
        <v xml:space="preserve">Coordinador General </v>
      </c>
      <c r="QX16" s="504">
        <f>+VLOOKUP(QV13,'Cost x Depart'!$A$2:$AL$1275,QU16,0)</f>
        <v>0.4</v>
      </c>
      <c r="QY16" s="505">
        <f>+'Componentes T.H.'!$T$6</f>
        <v>1</v>
      </c>
      <c r="QZ16" s="1235">
        <f>+'Componentes T.H.'!$Q$6</f>
        <v>2931352.8275333336</v>
      </c>
      <c r="RA16" s="1236"/>
      <c r="RB16" s="431">
        <f t="shared" ref="RB16" si="130">+QX16*QY16*QZ16*QY11</f>
        <v>5862705.6550666681</v>
      </c>
      <c r="RC16" s="123"/>
      <c r="RD16" s="124"/>
      <c r="RE16" s="124"/>
      <c r="RF16" s="124"/>
      <c r="RG16" s="936">
        <f t="shared" ref="RG16" si="131">+RB16/RB65</f>
        <v>3.0988099089864805E-2</v>
      </c>
      <c r="RI16" s="105">
        <v>14</v>
      </c>
      <c r="RJ16" s="1232" t="s">
        <v>2329</v>
      </c>
      <c r="RK16" s="503" t="str">
        <f t="shared" ref="RK16:RK20" si="132">+QW16</f>
        <v xml:space="preserve">Coordinador General </v>
      </c>
      <c r="RL16" s="504">
        <f>+VLOOKUP(RJ13,'Cost x Depart'!$A$2:$AL$1275,RI16,0)</f>
        <v>0.4</v>
      </c>
      <c r="RM16" s="505">
        <f>+'Componentes T.H.'!$T$6</f>
        <v>1</v>
      </c>
      <c r="RN16" s="1235">
        <f>+'Componentes T.H.'!$Q$6</f>
        <v>2931352.8275333336</v>
      </c>
      <c r="RO16" s="1236"/>
      <c r="RP16" s="431">
        <f t="shared" ref="RP16" si="133">+RL16*RM16*RN16*RM11</f>
        <v>5862705.6550666681</v>
      </c>
      <c r="RQ16" s="123"/>
      <c r="RR16" s="124"/>
      <c r="RS16" s="124"/>
      <c r="RT16" s="124"/>
      <c r="RU16" s="936">
        <f t="shared" ref="RU16" si="134">+RP16/RP65</f>
        <v>6.9668955888099557E-2</v>
      </c>
      <c r="RW16" s="105">
        <v>14</v>
      </c>
      <c r="RX16" s="1232" t="s">
        <v>2329</v>
      </c>
      <c r="RY16" s="503" t="str">
        <f t="shared" ref="RY16:RY20" si="135">+RK16</f>
        <v xml:space="preserve">Coordinador General </v>
      </c>
      <c r="RZ16" s="504">
        <f>+VLOOKUP(RX13,'Cost x Depart'!$A$2:$AL$1275,RW16,0)</f>
        <v>0.4</v>
      </c>
      <c r="SA16" s="505">
        <f>+'Componentes T.H.'!$T$6</f>
        <v>1</v>
      </c>
      <c r="SB16" s="1235">
        <f>+'Componentes T.H.'!$Q$6</f>
        <v>2931352.8275333336</v>
      </c>
      <c r="SC16" s="1236"/>
      <c r="SD16" s="431">
        <f t="shared" ref="SD16" si="136">+RZ16*SA16*SB16*SA11</f>
        <v>5862705.6550666681</v>
      </c>
      <c r="SE16" s="123"/>
      <c r="SF16" s="124"/>
      <c r="SG16" s="124"/>
      <c r="SH16" s="124"/>
      <c r="SI16" s="936">
        <f t="shared" ref="SI16" si="137">+SD16/SD65</f>
        <v>4.5878886285142764E-2</v>
      </c>
      <c r="SK16" s="105">
        <v>14</v>
      </c>
      <c r="SL16" s="1232" t="s">
        <v>2329</v>
      </c>
      <c r="SM16" s="503" t="str">
        <f t="shared" ref="SM16:SM20" si="138">+RY16</f>
        <v xml:space="preserve">Coordinador General </v>
      </c>
      <c r="SN16" s="504">
        <f>+VLOOKUP(SL13,'Cost x Depart'!$A$2:$AL$1275,SK16,0)</f>
        <v>0</v>
      </c>
      <c r="SO16" s="505">
        <f>+'Componentes T.H.'!$T$6</f>
        <v>1</v>
      </c>
      <c r="SP16" s="1235">
        <f>+'Componentes T.H.'!$Q$6</f>
        <v>2931352.8275333336</v>
      </c>
      <c r="SQ16" s="1236"/>
      <c r="SR16" s="431">
        <f t="shared" ref="SR16" si="139">+SN16*SO16*SP16*SO11</f>
        <v>0</v>
      </c>
      <c r="SS16" s="123"/>
      <c r="ST16" s="124"/>
      <c r="SU16" s="124"/>
      <c r="SV16" s="124"/>
      <c r="SW16" s="936">
        <f>IF(ISERROR((+SR16/SR65)),0,(+SR16/SR65))</f>
        <v>0</v>
      </c>
      <c r="SY16" s="105">
        <v>10</v>
      </c>
      <c r="SZ16" s="1232" t="s">
        <v>2329</v>
      </c>
      <c r="TA16" s="503" t="str">
        <f t="shared" ref="TA16:TA20" si="140">+RY16</f>
        <v xml:space="preserve">Coordinador General </v>
      </c>
      <c r="TB16" s="504">
        <f t="shared" ref="TB16:TB20" si="141">+D16+R16+AT16+BH16+BV16+CJ16+CX16+DL16+DZ16+EN16+FB16+FP16+GD16+GR16+HF16+HT16+IH16+IV16+JX16+KL16+KZ16+LN16+MB16+MP16+ND16+NR16+OF16+OT16+PH16+PV16+QJ16+QX16+RL16+RZ16+SN16</f>
        <v>22.999999999999993</v>
      </c>
      <c r="TC16" s="505">
        <f>+'Componentes T.H.'!$T$6</f>
        <v>1</v>
      </c>
      <c r="TD16" s="1235">
        <f>+'Componentes T.H.'!$Q$6</f>
        <v>2931352.8275333336</v>
      </c>
      <c r="TE16" s="1236"/>
      <c r="TF16" s="431">
        <f>+TB16*TC16*TD16*TC11</f>
        <v>337105575.16633326</v>
      </c>
      <c r="TG16" s="123"/>
      <c r="TH16" s="124"/>
      <c r="TI16" s="124"/>
      <c r="TJ16" s="124"/>
      <c r="TK16" s="936">
        <f t="shared" ref="TK16" si="142">+TF16/TF65</f>
        <v>1.0381655566986777E-2</v>
      </c>
    </row>
    <row r="17" spans="1:531" ht="15.75" customHeight="1">
      <c r="A17" s="105">
        <v>15</v>
      </c>
      <c r="B17" s="1233"/>
      <c r="C17" s="289" t="str">
        <f>+'Componentes T.H.'!B7</f>
        <v xml:space="preserve">Coordinador de Garantia de Derechos </v>
      </c>
      <c r="D17" s="125">
        <f>+VLOOKUP(B13,'Cost x Depart'!$A$2:$AL$1275,A17,0)</f>
        <v>1</v>
      </c>
      <c r="E17" s="110">
        <f>+'Componentes T.H.'!$T$7</f>
        <v>1</v>
      </c>
      <c r="F17" s="1238">
        <f>+'Componentes T.H.'!$Q$7</f>
        <v>2208763.1318000001</v>
      </c>
      <c r="G17" s="1240"/>
      <c r="H17" s="432">
        <f>+D17*E17*F17*E11</f>
        <v>11043815.659</v>
      </c>
      <c r="I17" s="123"/>
      <c r="J17" s="124"/>
      <c r="K17" s="124"/>
      <c r="L17" s="124"/>
      <c r="M17" s="937">
        <f>+H17/H65</f>
        <v>3.7832062374417116E-3</v>
      </c>
      <c r="O17" s="105">
        <v>15</v>
      </c>
      <c r="P17" s="1233"/>
      <c r="Q17" s="289" t="str">
        <f t="shared" si="31"/>
        <v xml:space="preserve">Coordinador de Garantia de Derechos </v>
      </c>
      <c r="R17" s="125">
        <f>+VLOOKUP(P13,'Cost x Depart'!$A$2:$AL$1275,O17,0)</f>
        <v>0.6</v>
      </c>
      <c r="S17" s="110">
        <f>+'Componentes T.H.'!$T$7</f>
        <v>1</v>
      </c>
      <c r="T17" s="1237">
        <f>+'Componentes T.H.'!$Q$7</f>
        <v>2208763.1318000001</v>
      </c>
      <c r="U17" s="1238"/>
      <c r="V17" s="432">
        <f t="shared" ref="V17" si="143">+R17*S17*T17*S11</f>
        <v>6626289.3954000007</v>
      </c>
      <c r="W17" s="123"/>
      <c r="X17" s="124"/>
      <c r="Y17" s="124"/>
      <c r="Z17" s="124"/>
      <c r="AA17" s="937">
        <f t="shared" ref="AA17" si="144">+V17/V65</f>
        <v>9.654115643103308E-3</v>
      </c>
      <c r="AC17" s="105">
        <v>11</v>
      </c>
      <c r="AD17" s="1233"/>
      <c r="AE17" s="289" t="str">
        <f t="shared" si="34"/>
        <v xml:space="preserve">Coordinador de Garantia de Derechos </v>
      </c>
      <c r="AF17" s="125">
        <f t="shared" si="35"/>
        <v>1.6</v>
      </c>
      <c r="AG17" s="110">
        <f>+'Componentes T.H.'!$T$7</f>
        <v>1</v>
      </c>
      <c r="AH17" s="1237">
        <f>+'Componentes T.H.'!$Q$7</f>
        <v>2208763.1318000001</v>
      </c>
      <c r="AI17" s="1238"/>
      <c r="AJ17" s="432">
        <f t="shared" ref="AJ17" si="145">+AF17*AG17*AH17*AG11</f>
        <v>17670105.054400001</v>
      </c>
      <c r="AK17" s="123"/>
      <c r="AL17" s="124"/>
      <c r="AM17" s="124"/>
      <c r="AN17" s="124"/>
      <c r="AO17" s="937">
        <f t="shared" ref="AO17" si="146">+AJ17/AJ65</f>
        <v>4.9008238684184755E-3</v>
      </c>
      <c r="AQ17" s="105">
        <v>15</v>
      </c>
      <c r="AR17" s="1233"/>
      <c r="AS17" s="289" t="str">
        <f t="shared" si="38"/>
        <v xml:space="preserve">Coordinador de Garantia de Derechos </v>
      </c>
      <c r="AT17" s="125">
        <f>+VLOOKUP(AR13,'Cost x Depart'!$A$2:$AL$1275,AQ17,0)</f>
        <v>0.8</v>
      </c>
      <c r="AU17" s="110">
        <f>+'Componentes T.H.'!$T$7</f>
        <v>1</v>
      </c>
      <c r="AV17" s="1237">
        <f>+'Componentes T.H.'!$Q$7</f>
        <v>2208763.1318000001</v>
      </c>
      <c r="AW17" s="1238"/>
      <c r="AX17" s="432">
        <f t="shared" ref="AX17" si="147">+AT17*AU17*AV17*AU11</f>
        <v>8835052.5272000004</v>
      </c>
      <c r="AY17" s="123"/>
      <c r="AZ17" s="124"/>
      <c r="BA17" s="124"/>
      <c r="BB17" s="124"/>
      <c r="BC17" s="937">
        <f t="shared" ref="BC17" si="148">+AX17/AX65</f>
        <v>8.4871193150551083E-3</v>
      </c>
      <c r="BE17" s="105">
        <v>15</v>
      </c>
      <c r="BF17" s="1233"/>
      <c r="BG17" s="289" t="str">
        <f t="shared" si="41"/>
        <v xml:space="preserve">Coordinador de Garantia de Derechos </v>
      </c>
      <c r="BH17" s="125">
        <f>+VLOOKUP(BF13,'Cost x Depart'!$A$2:$AL$1275,BE17,0)</f>
        <v>0.8</v>
      </c>
      <c r="BI17" s="110">
        <f>+'Componentes T.H.'!$T$7</f>
        <v>1</v>
      </c>
      <c r="BJ17" s="1237">
        <f>+'Componentes T.H.'!$Q$7</f>
        <v>2208763.1318000001</v>
      </c>
      <c r="BK17" s="1238"/>
      <c r="BL17" s="432">
        <f t="shared" ref="BL17" si="149">+BH17*BI17*BJ17*BI11</f>
        <v>8835052.5272000004</v>
      </c>
      <c r="BM17" s="123"/>
      <c r="BN17" s="124"/>
      <c r="BO17" s="124"/>
      <c r="BP17" s="124"/>
      <c r="BQ17" s="937">
        <f t="shared" ref="BQ17" si="150">+BL17/BL65</f>
        <v>5.9159201500189771E-3</v>
      </c>
      <c r="BS17" s="105">
        <v>15</v>
      </c>
      <c r="BT17" s="1233"/>
      <c r="BU17" s="289" t="str">
        <f t="shared" si="44"/>
        <v xml:space="preserve">Coordinador de Garantia de Derechos </v>
      </c>
      <c r="BV17" s="125">
        <f>+VLOOKUP(BT13,'Cost x Depart'!$A$2:$AL$1275,BS17,0)</f>
        <v>0.8</v>
      </c>
      <c r="BW17" s="110">
        <f>+'Componentes T.H.'!$T$7</f>
        <v>1</v>
      </c>
      <c r="BX17" s="1237">
        <f>+'Componentes T.H.'!$Q$7</f>
        <v>2208763.1318000001</v>
      </c>
      <c r="BY17" s="1238"/>
      <c r="BZ17" s="432">
        <f t="shared" ref="BZ17" si="151">+BV17*BW17*BX17*BW11</f>
        <v>8835052.5272000004</v>
      </c>
      <c r="CA17" s="123"/>
      <c r="CB17" s="124"/>
      <c r="CC17" s="124"/>
      <c r="CD17" s="124"/>
      <c r="CE17" s="937">
        <f t="shared" ref="CE17" si="152">+BZ17/BZ65</f>
        <v>6.9150150974904134E-3</v>
      </c>
      <c r="CG17" s="105">
        <v>15</v>
      </c>
      <c r="CH17" s="1233"/>
      <c r="CI17" s="289" t="str">
        <f t="shared" si="47"/>
        <v xml:space="preserve">Coordinador de Garantia de Derechos </v>
      </c>
      <c r="CJ17" s="125">
        <f>+VLOOKUP(CH13,'Cost x Depart'!$A$2:$AL$1275,CG17,0)</f>
        <v>0.8</v>
      </c>
      <c r="CK17" s="110">
        <f>+'Componentes T.H.'!$T$7</f>
        <v>1</v>
      </c>
      <c r="CL17" s="1237">
        <f>+'Componentes T.H.'!$Q$7</f>
        <v>2208763.1318000001</v>
      </c>
      <c r="CM17" s="1238"/>
      <c r="CN17" s="432">
        <f t="shared" ref="CN17" si="153">+CJ17*CK17*CL17*CK11</f>
        <v>8835052.5272000004</v>
      </c>
      <c r="CO17" s="123"/>
      <c r="CP17" s="124"/>
      <c r="CQ17" s="124"/>
      <c r="CR17" s="124"/>
      <c r="CS17" s="937">
        <f t="shared" ref="CS17" si="154">+CN17/CN65</f>
        <v>6.917904531724247E-3</v>
      </c>
      <c r="CU17" s="105">
        <v>15</v>
      </c>
      <c r="CV17" s="1233"/>
      <c r="CW17" s="289" t="str">
        <f t="shared" si="50"/>
        <v xml:space="preserve">Coordinador de Garantia de Derechos </v>
      </c>
      <c r="CX17" s="125">
        <f>+VLOOKUP(CV13,'Cost x Depart'!$A$2:$AL$1275,CU17,0)</f>
        <v>0.6</v>
      </c>
      <c r="CY17" s="110">
        <f>+'Componentes T.H.'!$T$7</f>
        <v>1</v>
      </c>
      <c r="CZ17" s="1237">
        <f>+'Componentes T.H.'!$Q$7</f>
        <v>2208763.1318000001</v>
      </c>
      <c r="DA17" s="1238"/>
      <c r="DB17" s="432">
        <f t="shared" ref="DB17" si="155">+CX17*CY17*CZ17*CY11</f>
        <v>6626289.3954000007</v>
      </c>
      <c r="DC17" s="123"/>
      <c r="DD17" s="124"/>
      <c r="DE17" s="124"/>
      <c r="DF17" s="124"/>
      <c r="DG17" s="937">
        <f t="shared" ref="DG17" si="156">+DB17/DB65</f>
        <v>9.4593067087615345E-3</v>
      </c>
      <c r="DI17" s="105">
        <v>15</v>
      </c>
      <c r="DJ17" s="1233"/>
      <c r="DK17" s="289" t="str">
        <f t="shared" si="53"/>
        <v xml:space="preserve">Coordinador de Garantia de Derechos </v>
      </c>
      <c r="DL17" s="125">
        <f>+VLOOKUP(DJ13,'Cost x Depart'!$A$2:$AL$1275,DI17,0)</f>
        <v>0.8</v>
      </c>
      <c r="DM17" s="110">
        <f>+'Componentes T.H.'!$T$7</f>
        <v>1</v>
      </c>
      <c r="DN17" s="1237">
        <f>+'Componentes T.H.'!$Q$7</f>
        <v>2208763.1318000001</v>
      </c>
      <c r="DO17" s="1238"/>
      <c r="DP17" s="432">
        <f t="shared" ref="DP17" si="157">+DL17*DM17*DN17*DM11</f>
        <v>8835052.5272000004</v>
      </c>
      <c r="DQ17" s="123"/>
      <c r="DR17" s="124"/>
      <c r="DS17" s="124"/>
      <c r="DT17" s="124"/>
      <c r="DU17" s="937">
        <f t="shared" ref="DU17" si="158">+DP17/DP65</f>
        <v>6.2038731717218871E-3</v>
      </c>
      <c r="DW17" s="105">
        <v>15</v>
      </c>
      <c r="DX17" s="1233"/>
      <c r="DY17" s="289" t="str">
        <f t="shared" si="56"/>
        <v xml:space="preserve">Coordinador de Garantia de Derechos </v>
      </c>
      <c r="DZ17" s="125">
        <f>+VLOOKUP(DX13,'Cost x Depart'!$A$2:$AL$1275,DW17,0)</f>
        <v>0.8</v>
      </c>
      <c r="EA17" s="110">
        <f>+'Componentes T.H.'!$T$7</f>
        <v>1</v>
      </c>
      <c r="EB17" s="1237">
        <f>+'Componentes T.H.'!$Q$7</f>
        <v>2208763.1318000001</v>
      </c>
      <c r="EC17" s="1238"/>
      <c r="ED17" s="432">
        <f t="shared" ref="ED17" si="159">+DZ17*EA17*EB17*EA11</f>
        <v>8835052.5272000004</v>
      </c>
      <c r="EE17" s="123"/>
      <c r="EF17" s="124"/>
      <c r="EG17" s="124"/>
      <c r="EH17" s="124"/>
      <c r="EI17" s="937">
        <f t="shared" ref="EI17" si="160">+ED17/ED65</f>
        <v>8.637277946552455E-3</v>
      </c>
      <c r="EK17" s="105">
        <v>15</v>
      </c>
      <c r="EL17" s="1233"/>
      <c r="EM17" s="289" t="str">
        <f t="shared" si="59"/>
        <v xml:space="preserve">Coordinador de Garantia de Derechos </v>
      </c>
      <c r="EN17" s="125">
        <f>+VLOOKUP(EL13,'Cost x Depart'!$A$2:$AL$1275,EK17,0)</f>
        <v>0.8</v>
      </c>
      <c r="EO17" s="110">
        <f>+'Componentes T.H.'!$T$7</f>
        <v>1</v>
      </c>
      <c r="EP17" s="1237">
        <f>+'Componentes T.H.'!$Q$7</f>
        <v>2208763.1318000001</v>
      </c>
      <c r="EQ17" s="1238"/>
      <c r="ER17" s="432">
        <f t="shared" ref="ER17" si="161">+EN17*EO17*EP17*EO11</f>
        <v>8835052.5272000004</v>
      </c>
      <c r="ES17" s="123"/>
      <c r="ET17" s="124"/>
      <c r="EU17" s="124"/>
      <c r="EV17" s="124"/>
      <c r="EW17" s="937">
        <f t="shared" ref="EW17" si="162">+ER17/ER65</f>
        <v>6.0628611600244079E-3</v>
      </c>
      <c r="EY17" s="105">
        <v>15</v>
      </c>
      <c r="EZ17" s="1233"/>
      <c r="FA17" s="289" t="str">
        <f t="shared" si="62"/>
        <v xml:space="preserve">Coordinador de Garantia de Derechos </v>
      </c>
      <c r="FB17" s="125">
        <f>+VLOOKUP(EZ13,'Cost x Depart'!$A$2:$AL$1275,EY17,0)</f>
        <v>0.8</v>
      </c>
      <c r="FC17" s="110">
        <f>+'Componentes T.H.'!$T$7</f>
        <v>1</v>
      </c>
      <c r="FD17" s="1237">
        <f>+'Componentes T.H.'!$Q$7</f>
        <v>2208763.1318000001</v>
      </c>
      <c r="FE17" s="1238"/>
      <c r="FF17" s="432">
        <f t="shared" ref="FF17" si="163">+FB17*FC17*FD17*FC11</f>
        <v>8835052.5272000004</v>
      </c>
      <c r="FG17" s="123"/>
      <c r="FH17" s="124"/>
      <c r="FI17" s="124"/>
      <c r="FJ17" s="124"/>
      <c r="FK17" s="937">
        <f t="shared" ref="FK17" si="164">+FF17/FF65</f>
        <v>5.6361531228383936E-3</v>
      </c>
      <c r="FM17" s="105">
        <v>15</v>
      </c>
      <c r="FN17" s="1233"/>
      <c r="FO17" s="289" t="str">
        <f t="shared" si="65"/>
        <v xml:space="preserve">Coordinador de Garantia de Derechos </v>
      </c>
      <c r="FP17" s="125">
        <f>+VLOOKUP(FN13,'Cost x Depart'!$A$2:$AL$1275,FM17,0)</f>
        <v>0.8</v>
      </c>
      <c r="FQ17" s="110">
        <f>+'Componentes T.H.'!$T$7</f>
        <v>1</v>
      </c>
      <c r="FR17" s="1237">
        <f>+'Componentes T.H.'!$Q$7</f>
        <v>2208763.1318000001</v>
      </c>
      <c r="FS17" s="1238"/>
      <c r="FT17" s="432">
        <f t="shared" ref="FT17" si="165">+FP17*FQ17*FR17*FQ11</f>
        <v>8835052.5272000004</v>
      </c>
      <c r="FU17" s="123"/>
      <c r="FV17" s="124"/>
      <c r="FW17" s="124"/>
      <c r="FX17" s="124"/>
      <c r="FY17" s="937">
        <f t="shared" ref="FY17" si="166">+FT17/FT65</f>
        <v>7.7464274832195019E-3</v>
      </c>
      <c r="GA17" s="105">
        <v>15</v>
      </c>
      <c r="GB17" s="1233"/>
      <c r="GC17" s="289" t="str">
        <f t="shared" si="68"/>
        <v xml:space="preserve">Coordinador de Garantia de Derechos </v>
      </c>
      <c r="GD17" s="125">
        <f>+VLOOKUP(GB13,'Cost x Depart'!$A$2:$AL$1275,GA17,0)</f>
        <v>0.6</v>
      </c>
      <c r="GE17" s="110">
        <f>+'Componentes T.H.'!$T$7</f>
        <v>1</v>
      </c>
      <c r="GF17" s="1237">
        <f>+'Componentes T.H.'!$Q$7</f>
        <v>2208763.1318000001</v>
      </c>
      <c r="GG17" s="1238"/>
      <c r="GH17" s="432">
        <f t="shared" ref="GH17" si="167">+GD17*GE17*GF17*GE11</f>
        <v>6626289.3954000007</v>
      </c>
      <c r="GI17" s="123"/>
      <c r="GJ17" s="124"/>
      <c r="GK17" s="124"/>
      <c r="GL17" s="124"/>
      <c r="GM17" s="937">
        <f t="shared" ref="GM17" si="168">+GH17/GH65</f>
        <v>7.5147174412486355E-3</v>
      </c>
      <c r="GO17" s="105">
        <v>15</v>
      </c>
      <c r="GP17" s="1233"/>
      <c r="GQ17" s="289" t="str">
        <f t="shared" si="71"/>
        <v xml:space="preserve">Coordinador de Garantia de Derechos </v>
      </c>
      <c r="GR17" s="125">
        <f>+VLOOKUP(GP13,'Cost x Depart'!$A$2:$AL$1275,GO17,0)</f>
        <v>0.6</v>
      </c>
      <c r="GS17" s="110">
        <f>+'Componentes T.H.'!$T$7</f>
        <v>1</v>
      </c>
      <c r="GT17" s="1237">
        <f>+'Componentes T.H.'!$Q$7</f>
        <v>2208763.1318000001</v>
      </c>
      <c r="GU17" s="1238"/>
      <c r="GV17" s="432">
        <f t="shared" ref="GV17" si="169">+GR17*GS17*GT17*GS11</f>
        <v>6626289.3954000007</v>
      </c>
      <c r="GW17" s="123"/>
      <c r="GX17" s="124"/>
      <c r="GY17" s="124"/>
      <c r="GZ17" s="124"/>
      <c r="HA17" s="937">
        <f t="shared" ref="HA17" si="170">+GV17/GV65</f>
        <v>1.2013997311689995E-2</v>
      </c>
      <c r="HC17" s="105">
        <v>15</v>
      </c>
      <c r="HD17" s="1233"/>
      <c r="HE17" s="289" t="str">
        <f t="shared" si="74"/>
        <v xml:space="preserve">Coordinador de Garantia de Derechos </v>
      </c>
      <c r="HF17" s="125">
        <f>+VLOOKUP(HD13,'Cost x Depart'!$A$2:$AL$1275,HC17,0)</f>
        <v>1</v>
      </c>
      <c r="HG17" s="110">
        <f>+'Componentes T.H.'!$T$7</f>
        <v>1</v>
      </c>
      <c r="HH17" s="1237">
        <f>+'Componentes T.H.'!$Q$7</f>
        <v>2208763.1318000001</v>
      </c>
      <c r="HI17" s="1238"/>
      <c r="HJ17" s="432">
        <f t="shared" ref="HJ17" si="171">+HF17*HG17*HH17*HG11</f>
        <v>11043815.659</v>
      </c>
      <c r="HK17" s="123"/>
      <c r="HL17" s="124"/>
      <c r="HM17" s="124"/>
      <c r="HN17" s="124"/>
      <c r="HO17" s="937">
        <f t="shared" ref="HO17" si="172">+HJ17/HJ65</f>
        <v>6.2331640264917977E-3</v>
      </c>
      <c r="HQ17" s="105">
        <v>15</v>
      </c>
      <c r="HR17" s="1233"/>
      <c r="HS17" s="289" t="str">
        <f t="shared" si="77"/>
        <v xml:space="preserve">Coordinador de Garantia de Derechos </v>
      </c>
      <c r="HT17" s="125">
        <f>+VLOOKUP(HR13,'Cost x Depart'!$A$2:$AL$1275,HQ17,0)</f>
        <v>0.6</v>
      </c>
      <c r="HU17" s="110">
        <f>+'Componentes T.H.'!$T$7</f>
        <v>1</v>
      </c>
      <c r="HV17" s="1237">
        <f>+'Componentes T.H.'!$Q$7</f>
        <v>2208763.1318000001</v>
      </c>
      <c r="HW17" s="1238"/>
      <c r="HX17" s="432">
        <f t="shared" ref="HX17" si="173">+HT17*HU17*HV17*HU11</f>
        <v>6626289.3954000007</v>
      </c>
      <c r="HY17" s="123"/>
      <c r="HZ17" s="124"/>
      <c r="IA17" s="124"/>
      <c r="IB17" s="124"/>
      <c r="IC17" s="937">
        <f t="shared" ref="IC17" si="174">+HX17/HX65</f>
        <v>1.0647434832460391E-2</v>
      </c>
      <c r="IE17" s="105">
        <v>15</v>
      </c>
      <c r="IF17" s="1233"/>
      <c r="IG17" s="289" t="str">
        <f t="shared" si="80"/>
        <v xml:space="preserve">Coordinador de Garantia de Derechos </v>
      </c>
      <c r="IH17" s="125">
        <f>+VLOOKUP(IF13,'Cost x Depart'!$A$2:$AL$1275,IE17,0)</f>
        <v>0.6</v>
      </c>
      <c r="II17" s="110">
        <f>+'Componentes T.H.'!$T$7</f>
        <v>1</v>
      </c>
      <c r="IJ17" s="1237">
        <f>+'Componentes T.H.'!$Q$7</f>
        <v>2208763.1318000001</v>
      </c>
      <c r="IK17" s="1238"/>
      <c r="IL17" s="432">
        <f t="shared" ref="IL17" si="175">+IH17*II17*IJ17*II11</f>
        <v>6626289.3954000007</v>
      </c>
      <c r="IM17" s="123"/>
      <c r="IN17" s="124"/>
      <c r="IO17" s="124"/>
      <c r="IP17" s="124"/>
      <c r="IQ17" s="937">
        <f t="shared" ref="IQ17" si="176">+IL17/IL65</f>
        <v>1.5829469749358192E-2</v>
      </c>
      <c r="IS17" s="105">
        <v>15</v>
      </c>
      <c r="IT17" s="1233"/>
      <c r="IU17" s="289" t="str">
        <f t="shared" si="83"/>
        <v xml:space="preserve">Coordinador de Garantia de Derechos </v>
      </c>
      <c r="IV17" s="125">
        <f>+VLOOKUP(IT13,'Cost x Depart'!$A$2:$AL$1275,IS17,0)</f>
        <v>1</v>
      </c>
      <c r="IW17" s="110">
        <f>+'Componentes T.H.'!$T$7</f>
        <v>1</v>
      </c>
      <c r="IX17" s="1237">
        <f>+'Componentes T.H.'!$Q$7</f>
        <v>2208763.1318000001</v>
      </c>
      <c r="IY17" s="1238"/>
      <c r="IZ17" s="432">
        <f t="shared" ref="IZ17" si="177">+IV17*IW17*IX17*IW11</f>
        <v>11043815.659</v>
      </c>
      <c r="JA17" s="123"/>
      <c r="JB17" s="124"/>
      <c r="JC17" s="124"/>
      <c r="JD17" s="124"/>
      <c r="JE17" s="937">
        <f t="shared" ref="JE17" si="178">+IZ17/IZ65</f>
        <v>4.2426318914654589E-3</v>
      </c>
      <c r="JG17" s="105">
        <v>11</v>
      </c>
      <c r="JH17" s="1233"/>
      <c r="JI17" s="289" t="str">
        <f t="shared" si="86"/>
        <v xml:space="preserve">Coordinador de Garantia de Derechos </v>
      </c>
      <c r="JJ17" s="125">
        <f t="shared" si="87"/>
        <v>1.6</v>
      </c>
      <c r="JK17" s="110">
        <f>+'Componentes T.H.'!$T$7</f>
        <v>1</v>
      </c>
      <c r="JL17" s="1237">
        <f>+'Componentes T.H.'!$Q$7</f>
        <v>2208763.1318000001</v>
      </c>
      <c r="JM17" s="1238"/>
      <c r="JN17" s="432">
        <f t="shared" ref="JN17" si="179">+JJ17*JK17*JL17*JK11</f>
        <v>17670105.054400001</v>
      </c>
      <c r="JO17" s="123"/>
      <c r="JP17" s="124"/>
      <c r="JQ17" s="124"/>
      <c r="JR17" s="124"/>
      <c r="JS17" s="937">
        <f t="shared" ref="JS17" si="180">+JN17/JN65</f>
        <v>5.847809264113578E-3</v>
      </c>
      <c r="JU17" s="105">
        <v>15</v>
      </c>
      <c r="JV17" s="1233"/>
      <c r="JW17" s="289" t="str">
        <f t="shared" si="90"/>
        <v xml:space="preserve">Coordinador de Garantia de Derechos </v>
      </c>
      <c r="JX17" s="125">
        <f>+VLOOKUP(JV13,'Cost x Depart'!$A$2:$AL$1275,JU17,0)</f>
        <v>0.6</v>
      </c>
      <c r="JY17" s="110">
        <f>+'Componentes T.H.'!$T$7</f>
        <v>1</v>
      </c>
      <c r="JZ17" s="1237">
        <f>+'Componentes T.H.'!$Q$7</f>
        <v>2208763.1318000001</v>
      </c>
      <c r="KA17" s="1238"/>
      <c r="KB17" s="432">
        <f t="shared" ref="KB17" si="181">+JX17*JY17*JZ17*JY11</f>
        <v>6626289.3954000007</v>
      </c>
      <c r="KC17" s="123"/>
      <c r="KD17" s="124"/>
      <c r="KE17" s="124"/>
      <c r="KF17" s="124"/>
      <c r="KG17" s="937">
        <f t="shared" ref="KG17" si="182">+KB17/KB65</f>
        <v>7.5553632728912164E-3</v>
      </c>
      <c r="KI17" s="105">
        <v>15</v>
      </c>
      <c r="KJ17" s="1233"/>
      <c r="KK17" s="289" t="str">
        <f t="shared" si="93"/>
        <v xml:space="preserve">Coordinador de Garantia de Derechos </v>
      </c>
      <c r="KL17" s="125">
        <f>+VLOOKUP(KJ13,'Cost x Depart'!$A$2:$AL$1275,KI17,0)</f>
        <v>0.6</v>
      </c>
      <c r="KM17" s="110">
        <f>+'Componentes T.H.'!$T$7</f>
        <v>1</v>
      </c>
      <c r="KN17" s="1237">
        <f>+'Componentes T.H.'!$Q$7</f>
        <v>2208763.1318000001</v>
      </c>
      <c r="KO17" s="1238"/>
      <c r="KP17" s="432">
        <f t="shared" ref="KP17" si="183">+KL17*KM17*KN17*KM11</f>
        <v>6626289.3954000007</v>
      </c>
      <c r="KQ17" s="123"/>
      <c r="KR17" s="124"/>
      <c r="KS17" s="124"/>
      <c r="KT17" s="124"/>
      <c r="KU17" s="937">
        <f t="shared" ref="KU17" si="184">+KP17/KP65</f>
        <v>1.2564557374086266E-2</v>
      </c>
      <c r="KW17" s="105">
        <v>15</v>
      </c>
      <c r="KX17" s="1233"/>
      <c r="KY17" s="289" t="str">
        <f t="shared" si="96"/>
        <v xml:space="preserve">Coordinador de Garantia de Derechos </v>
      </c>
      <c r="KZ17" s="125">
        <f>+VLOOKUP(KX13,'Cost x Depart'!$A$2:$AL$1275,KW17,0)</f>
        <v>0.6</v>
      </c>
      <c r="LA17" s="110">
        <f>+'Componentes T.H.'!$T$7</f>
        <v>1</v>
      </c>
      <c r="LB17" s="1237">
        <f>+'Componentes T.H.'!$Q$7</f>
        <v>2208763.1318000001</v>
      </c>
      <c r="LC17" s="1238"/>
      <c r="LD17" s="432">
        <f t="shared" ref="LD17" si="185">+KZ17*LA17*LB17*LA11</f>
        <v>6626289.3954000007</v>
      </c>
      <c r="LE17" s="123"/>
      <c r="LF17" s="124"/>
      <c r="LG17" s="124"/>
      <c r="LH17" s="124"/>
      <c r="LI17" s="937">
        <f t="shared" ref="LI17" si="186">+LD17/LD65</f>
        <v>1.5445598541993162E-2</v>
      </c>
      <c r="LK17" s="105">
        <v>15</v>
      </c>
      <c r="LL17" s="1233"/>
      <c r="LM17" s="289" t="str">
        <f t="shared" si="99"/>
        <v xml:space="preserve">Coordinador de Garantia de Derechos </v>
      </c>
      <c r="LN17" s="125">
        <f>+VLOOKUP(LL13,'Cost x Depart'!$A$2:$AL$1275,LK17,0)</f>
        <v>0.8</v>
      </c>
      <c r="LO17" s="110">
        <f>+'Componentes T.H.'!$T$7</f>
        <v>1</v>
      </c>
      <c r="LP17" s="1237">
        <f>+'Componentes T.H.'!$Q$7</f>
        <v>2208763.1318000001</v>
      </c>
      <c r="LQ17" s="1238"/>
      <c r="LR17" s="432">
        <f t="shared" ref="LR17" si="187">+LN17*LO17*LP17*LO11</f>
        <v>8835052.5272000004</v>
      </c>
      <c r="LS17" s="123"/>
      <c r="LT17" s="124"/>
      <c r="LU17" s="124"/>
      <c r="LV17" s="124"/>
      <c r="LW17" s="937">
        <f t="shared" ref="LW17" si="188">+LR17/LR65</f>
        <v>7.8713275128035731E-3</v>
      </c>
      <c r="LY17" s="105">
        <v>15</v>
      </c>
      <c r="LZ17" s="1233"/>
      <c r="MA17" s="289" t="str">
        <f t="shared" si="102"/>
        <v xml:space="preserve">Coordinador de Garantia de Derechos </v>
      </c>
      <c r="MB17" s="125">
        <f>+VLOOKUP(LZ13,'Cost x Depart'!$A$2:$AL$1275,LY17,0)</f>
        <v>0.8</v>
      </c>
      <c r="MC17" s="110">
        <f>+'Componentes T.H.'!$T$7</f>
        <v>1</v>
      </c>
      <c r="MD17" s="1237">
        <f>+'Componentes T.H.'!$Q$7</f>
        <v>2208763.1318000001</v>
      </c>
      <c r="ME17" s="1238"/>
      <c r="MF17" s="432">
        <f t="shared" ref="MF17" si="189">+MB17*MC17*MD17*MC11</f>
        <v>8835052.5272000004</v>
      </c>
      <c r="MG17" s="123"/>
      <c r="MH17" s="124"/>
      <c r="MI17" s="124"/>
      <c r="MJ17" s="124"/>
      <c r="MK17" s="937">
        <f t="shared" ref="MK17" si="190">+MF17/MF65</f>
        <v>7.9353001782138111E-3</v>
      </c>
      <c r="MM17" s="105">
        <v>15</v>
      </c>
      <c r="MN17" s="1233"/>
      <c r="MO17" s="289" t="str">
        <f t="shared" si="105"/>
        <v xml:space="preserve">Coordinador de Garantia de Derechos </v>
      </c>
      <c r="MP17" s="125">
        <f>+VLOOKUP(MN13,'Cost x Depart'!$A$2:$AL$1275,MM17,0)</f>
        <v>0.8</v>
      </c>
      <c r="MQ17" s="110">
        <f>+'Componentes T.H.'!$T$7</f>
        <v>1</v>
      </c>
      <c r="MR17" s="1237">
        <f>+'Componentes T.H.'!$Q$7</f>
        <v>2208763.1318000001</v>
      </c>
      <c r="MS17" s="1238"/>
      <c r="MT17" s="432">
        <f t="shared" ref="MT17" si="191">+MP17*MQ17*MR17*MQ11</f>
        <v>8835052.5272000004</v>
      </c>
      <c r="MU17" s="123"/>
      <c r="MV17" s="124"/>
      <c r="MW17" s="124"/>
      <c r="MX17" s="124"/>
      <c r="MY17" s="937">
        <f t="shared" ref="MY17" si="192">+MT17/MT65</f>
        <v>7.7548267172839122E-3</v>
      </c>
      <c r="NA17" s="105">
        <v>15</v>
      </c>
      <c r="NB17" s="1233"/>
      <c r="NC17" s="289" t="str">
        <f t="shared" si="108"/>
        <v xml:space="preserve">Coordinador de Garantia de Derechos </v>
      </c>
      <c r="ND17" s="125">
        <f>+VLOOKUP(NB13,'Cost x Depart'!$A$2:$AL$1275,NA17,0)</f>
        <v>1</v>
      </c>
      <c r="NE17" s="110">
        <f>+'Componentes T.H.'!$T$7</f>
        <v>1</v>
      </c>
      <c r="NF17" s="1237">
        <f>+'Componentes T.H.'!$Q$7</f>
        <v>2208763.1318000001</v>
      </c>
      <c r="NG17" s="1238"/>
      <c r="NH17" s="432">
        <f t="shared" ref="NH17" si="193">+ND17*NE17*NF17*NE11</f>
        <v>11043815.659</v>
      </c>
      <c r="NI17" s="123"/>
      <c r="NJ17" s="124"/>
      <c r="NK17" s="124"/>
      <c r="NL17" s="124"/>
      <c r="NM17" s="937">
        <f t="shared" ref="NM17" si="194">+NH17/NH65</f>
        <v>5.0650722237541067E-3</v>
      </c>
      <c r="NO17" s="105">
        <v>15</v>
      </c>
      <c r="NP17" s="1233"/>
      <c r="NQ17" s="289" t="str">
        <f t="shared" si="111"/>
        <v xml:space="preserve">Coordinador de Garantia de Derechos </v>
      </c>
      <c r="NR17" s="125">
        <f>+VLOOKUP(NP13,'Cost x Depart'!$A$2:$AL$1275,NO17,0)</f>
        <v>0.4</v>
      </c>
      <c r="NS17" s="110">
        <f>+'Componentes T.H.'!$T$7</f>
        <v>1</v>
      </c>
      <c r="NT17" s="1237">
        <f>+'Componentes T.H.'!$Q$7</f>
        <v>2208763.1318000001</v>
      </c>
      <c r="NU17" s="1238"/>
      <c r="NV17" s="432">
        <f t="shared" ref="NV17" si="195">+NR17*NS17*NT17*NS11</f>
        <v>4417526.2636000002</v>
      </c>
      <c r="NW17" s="123"/>
      <c r="NX17" s="124"/>
      <c r="NY17" s="124"/>
      <c r="NZ17" s="124"/>
      <c r="OA17" s="937">
        <f t="shared" ref="OA17" si="196">+NV17/NV65</f>
        <v>1.272723896899124E-2</v>
      </c>
      <c r="OC17" s="105">
        <v>15</v>
      </c>
      <c r="OD17" s="1233"/>
      <c r="OE17" s="289" t="str">
        <f t="shared" si="114"/>
        <v xml:space="preserve">Coordinador de Garantia de Derechos </v>
      </c>
      <c r="OF17" s="125">
        <f>+VLOOKUP(OD13,'Cost x Depart'!$A$2:$AL$1275,OC17,0)</f>
        <v>0.6</v>
      </c>
      <c r="OG17" s="110">
        <f>+'Componentes T.H.'!$T$7</f>
        <v>1</v>
      </c>
      <c r="OH17" s="1237">
        <f>+'Componentes T.H.'!$Q$7</f>
        <v>2208763.1318000001</v>
      </c>
      <c r="OI17" s="1238"/>
      <c r="OJ17" s="432">
        <f t="shared" ref="OJ17" si="197">+OF17*OG17*OH17*OG11</f>
        <v>6626289.3954000007</v>
      </c>
      <c r="OK17" s="123"/>
      <c r="OL17" s="124"/>
      <c r="OM17" s="124"/>
      <c r="ON17" s="124"/>
      <c r="OO17" s="937">
        <f t="shared" ref="OO17" si="198">+OJ17/OJ65</f>
        <v>1.4648310791145723E-2</v>
      </c>
      <c r="OQ17" s="105">
        <v>15</v>
      </c>
      <c r="OR17" s="1233"/>
      <c r="OS17" s="289" t="str">
        <f t="shared" si="117"/>
        <v xml:space="preserve">Coordinador de Garantia de Derechos </v>
      </c>
      <c r="OT17" s="125">
        <f>+VLOOKUP(OR13,'Cost x Depart'!$A$2:$AL$1275,OQ17,0)</f>
        <v>0.6</v>
      </c>
      <c r="OU17" s="110">
        <f>+'Componentes T.H.'!$T$7</f>
        <v>1</v>
      </c>
      <c r="OV17" s="1237">
        <f>+'Componentes T.H.'!$Q$7</f>
        <v>2208763.1318000001</v>
      </c>
      <c r="OW17" s="1238"/>
      <c r="OX17" s="432">
        <f t="shared" ref="OX17" si="199">+OT17*OU17*OV17*OU11</f>
        <v>6626289.3954000007</v>
      </c>
      <c r="OY17" s="123"/>
      <c r="OZ17" s="124"/>
      <c r="PA17" s="124"/>
      <c r="PB17" s="124"/>
      <c r="PC17" s="937">
        <f t="shared" ref="PC17" si="200">+OX17/OX65</f>
        <v>1.1594489426114235E-2</v>
      </c>
      <c r="PE17" s="105">
        <v>15</v>
      </c>
      <c r="PF17" s="1233"/>
      <c r="PG17" s="289" t="str">
        <f t="shared" si="120"/>
        <v xml:space="preserve">Coordinador de Garantia de Derechos </v>
      </c>
      <c r="PH17" s="125">
        <f>+VLOOKUP(PF13,'Cost x Depart'!$A$2:$AL$1275,PE17,0)</f>
        <v>0.4</v>
      </c>
      <c r="PI17" s="110">
        <f>+'Componentes T.H.'!$T$7</f>
        <v>1</v>
      </c>
      <c r="PJ17" s="1237">
        <f>+'Componentes T.H.'!$Q$7</f>
        <v>2208763.1318000001</v>
      </c>
      <c r="PK17" s="1238"/>
      <c r="PL17" s="432">
        <f t="shared" ref="PL17" si="201">+PH17*PI17*PJ17*PI11</f>
        <v>4417526.2636000002</v>
      </c>
      <c r="PM17" s="123"/>
      <c r="PN17" s="124"/>
      <c r="PO17" s="124"/>
      <c r="PP17" s="124"/>
      <c r="PQ17" s="937">
        <f t="shared" ref="PQ17" si="202">+PL17/PL65</f>
        <v>3.0396304899683382E-2</v>
      </c>
      <c r="PS17" s="105">
        <v>15</v>
      </c>
      <c r="PT17" s="1233"/>
      <c r="PU17" s="289" t="str">
        <f t="shared" si="123"/>
        <v xml:space="preserve">Coordinador de Garantia de Derechos </v>
      </c>
      <c r="PV17" s="125">
        <f>+VLOOKUP(PT13,'Cost x Depart'!$A$2:$AL$1275,PS17,0)</f>
        <v>0.4</v>
      </c>
      <c r="PW17" s="110">
        <f>+'Componentes T.H.'!$T$7</f>
        <v>1</v>
      </c>
      <c r="PX17" s="1237">
        <f>+'Componentes T.H.'!$Q$7</f>
        <v>2208763.1318000001</v>
      </c>
      <c r="PY17" s="1238"/>
      <c r="PZ17" s="432">
        <f t="shared" ref="PZ17" si="203">+PV17*PW17*PX17*PW11</f>
        <v>4417526.2636000002</v>
      </c>
      <c r="QA17" s="123"/>
      <c r="QB17" s="124"/>
      <c r="QC17" s="124"/>
      <c r="QD17" s="124"/>
      <c r="QE17" s="937">
        <f t="shared" ref="QE17" si="204">+PZ17/PZ65</f>
        <v>1.969638397361392E-2</v>
      </c>
      <c r="QG17" s="105">
        <v>15</v>
      </c>
      <c r="QH17" s="1233"/>
      <c r="QI17" s="289" t="str">
        <f t="shared" si="126"/>
        <v xml:space="preserve">Coordinador de Garantia de Derechos </v>
      </c>
      <c r="QJ17" s="125">
        <f>+VLOOKUP(QH13,'Cost x Depart'!$A$2:$AL$1275,QG17,0)</f>
        <v>0.4</v>
      </c>
      <c r="QK17" s="110">
        <f>+'Componentes T.H.'!$T$7</f>
        <v>1</v>
      </c>
      <c r="QL17" s="1237">
        <f>+'Componentes T.H.'!$Q$7</f>
        <v>2208763.1318000001</v>
      </c>
      <c r="QM17" s="1238"/>
      <c r="QN17" s="432">
        <f t="shared" ref="QN17" si="205">+QJ17*QK17*QL17*QK11</f>
        <v>4417526.2636000002</v>
      </c>
      <c r="QO17" s="123"/>
      <c r="QP17" s="124"/>
      <c r="QQ17" s="124"/>
      <c r="QR17" s="124"/>
      <c r="QS17" s="937">
        <f t="shared" ref="QS17" si="206">+QN17/QN65</f>
        <v>5.2636323320585744E-2</v>
      </c>
      <c r="QU17" s="105">
        <v>15</v>
      </c>
      <c r="QV17" s="1233"/>
      <c r="QW17" s="289" t="str">
        <f t="shared" si="129"/>
        <v xml:space="preserve">Coordinador de Garantia de Derechos </v>
      </c>
      <c r="QX17" s="125">
        <f>+VLOOKUP(QV13,'Cost x Depart'!$A$2:$AL$1275,QU17,0)</f>
        <v>0.4</v>
      </c>
      <c r="QY17" s="110">
        <f>+'Componentes T.H.'!$T$7</f>
        <v>1</v>
      </c>
      <c r="QZ17" s="1237">
        <f>+'Componentes T.H.'!$Q$7</f>
        <v>2208763.1318000001</v>
      </c>
      <c r="RA17" s="1238"/>
      <c r="RB17" s="432">
        <f t="shared" ref="RB17" si="207">+QX17*QY17*QZ17*QY11</f>
        <v>4417526.2636000002</v>
      </c>
      <c r="RC17" s="123"/>
      <c r="RD17" s="124"/>
      <c r="RE17" s="124"/>
      <c r="RF17" s="124"/>
      <c r="RG17" s="937">
        <f t="shared" ref="RG17" si="208">+RB17/RB65</f>
        <v>2.3349414015048378E-2</v>
      </c>
      <c r="RI17" s="105">
        <v>15</v>
      </c>
      <c r="RJ17" s="1233"/>
      <c r="RK17" s="289" t="str">
        <f t="shared" si="132"/>
        <v xml:space="preserve">Coordinador de Garantia de Derechos </v>
      </c>
      <c r="RL17" s="125">
        <f>+VLOOKUP(RJ13,'Cost x Depart'!$A$2:$AL$1275,RI17,0)</f>
        <v>0.4</v>
      </c>
      <c r="RM17" s="110">
        <f>+'Componentes T.H.'!$T$7</f>
        <v>1</v>
      </c>
      <c r="RN17" s="1237">
        <f>+'Componentes T.H.'!$Q$7</f>
        <v>2208763.1318000001</v>
      </c>
      <c r="RO17" s="1238"/>
      <c r="RP17" s="432">
        <f t="shared" ref="RP17" si="209">+RL17*RM17*RN17*RM11</f>
        <v>4417526.2636000002</v>
      </c>
      <c r="RQ17" s="123"/>
      <c r="RR17" s="124"/>
      <c r="RS17" s="124"/>
      <c r="RT17" s="124"/>
      <c r="RU17" s="937">
        <f t="shared" ref="RU17" si="210">+RP17/RP65</f>
        <v>5.2495291508843439E-2</v>
      </c>
      <c r="RW17" s="105">
        <v>15</v>
      </c>
      <c r="RX17" s="1233"/>
      <c r="RY17" s="289" t="str">
        <f t="shared" si="135"/>
        <v xml:space="preserve">Coordinador de Garantia de Derechos </v>
      </c>
      <c r="RZ17" s="125">
        <f>+VLOOKUP(RX13,'Cost x Depart'!$A$2:$AL$1275,RW17,0)</f>
        <v>0.4</v>
      </c>
      <c r="SA17" s="110">
        <f>+'Componentes T.H.'!$T$7</f>
        <v>1</v>
      </c>
      <c r="SB17" s="1237">
        <f>+'Componentes T.H.'!$Q$7</f>
        <v>2208763.1318000001</v>
      </c>
      <c r="SC17" s="1238"/>
      <c r="SD17" s="432">
        <f t="shared" ref="SD17" si="211">+RZ17*SA17*SB17*SA11</f>
        <v>4417526.2636000002</v>
      </c>
      <c r="SE17" s="123"/>
      <c r="SF17" s="124"/>
      <c r="SG17" s="124"/>
      <c r="SH17" s="124"/>
      <c r="SI17" s="937">
        <f t="shared" ref="SI17" si="212">+SD17/SD65</f>
        <v>3.456956515191642E-2</v>
      </c>
      <c r="SK17" s="105">
        <v>15</v>
      </c>
      <c r="SL17" s="1233"/>
      <c r="SM17" s="289" t="str">
        <f t="shared" si="138"/>
        <v xml:space="preserve">Coordinador de Garantia de Derechos </v>
      </c>
      <c r="SN17" s="125">
        <f>+VLOOKUP(SL13,'Cost x Depart'!$A$2:$AL$1275,SK17,0)</f>
        <v>0</v>
      </c>
      <c r="SO17" s="110">
        <f>+'Componentes T.H.'!$T$7</f>
        <v>1</v>
      </c>
      <c r="SP17" s="1237">
        <f>+'Componentes T.H.'!$Q$7</f>
        <v>2208763.1318000001</v>
      </c>
      <c r="SQ17" s="1238"/>
      <c r="SR17" s="432">
        <f t="shared" ref="SR17" si="213">+SN17*SO17*SP17*SO11</f>
        <v>0</v>
      </c>
      <c r="SS17" s="123"/>
      <c r="ST17" s="124"/>
      <c r="SU17" s="124"/>
      <c r="SV17" s="124"/>
      <c r="SW17" s="937">
        <f>IF(ISERROR((+SR17/SR65)),0,(+SR17/SR65))</f>
        <v>0</v>
      </c>
      <c r="SY17" s="105">
        <v>11</v>
      </c>
      <c r="SZ17" s="1233"/>
      <c r="TA17" s="289" t="str">
        <f t="shared" si="140"/>
        <v xml:space="preserve">Coordinador de Garantia de Derechos </v>
      </c>
      <c r="TB17" s="125">
        <f t="shared" si="141"/>
        <v>22.999999999999993</v>
      </c>
      <c r="TC17" s="110">
        <f>+'Componentes T.H.'!$T$7</f>
        <v>1</v>
      </c>
      <c r="TD17" s="1237">
        <f>+'Componentes T.H.'!$Q$7</f>
        <v>2208763.1318000001</v>
      </c>
      <c r="TE17" s="1238"/>
      <c r="TF17" s="432">
        <f t="shared" ref="TF17" si="214">+TB17*TC17*TD17*TC11</f>
        <v>254007760.15699995</v>
      </c>
      <c r="TG17" s="123"/>
      <c r="TH17" s="124"/>
      <c r="TI17" s="124"/>
      <c r="TJ17" s="124"/>
      <c r="TK17" s="937">
        <f t="shared" ref="TK17" si="215">+TF17/TF65</f>
        <v>7.8225377197947924E-3</v>
      </c>
    </row>
    <row r="18" spans="1:531" ht="15.75" customHeight="1">
      <c r="A18" s="105">
        <v>17</v>
      </c>
      <c r="B18" s="1233"/>
      <c r="C18" s="289" t="str">
        <f>+'Componentes T.H.'!B8</f>
        <v>Coordinador Metodológico</v>
      </c>
      <c r="D18" s="125">
        <f>+VLOOKUP(B13,'Cost x Depart'!$A$2:$AL$1275,A18,0)</f>
        <v>19.5</v>
      </c>
      <c r="E18" s="110">
        <f>+'Componentes T.H.'!$T$8</f>
        <v>1</v>
      </c>
      <c r="F18" s="1238">
        <f>+'Componentes T.H.'!$Q$8</f>
        <v>1998209.5068666667</v>
      </c>
      <c r="G18" s="1240"/>
      <c r="H18" s="432">
        <f>+D18*E18*F18*E11</f>
        <v>194825426.91949999</v>
      </c>
      <c r="I18" s="123"/>
      <c r="J18" s="124"/>
      <c r="K18" s="124"/>
      <c r="L18" s="124"/>
      <c r="M18" s="937">
        <f>+H18/H65</f>
        <v>6.6740046474194487E-2</v>
      </c>
      <c r="O18" s="105">
        <v>17</v>
      </c>
      <c r="P18" s="1233"/>
      <c r="Q18" s="289" t="str">
        <f t="shared" si="31"/>
        <v>Coordinador Metodológico</v>
      </c>
      <c r="R18" s="125">
        <f>+VLOOKUP(P13,'Cost x Depart'!$A$2:$AL$1275,O18,0)</f>
        <v>4.5</v>
      </c>
      <c r="S18" s="110">
        <f>+'Componentes T.H.'!$T$8</f>
        <v>1</v>
      </c>
      <c r="T18" s="1237">
        <f>+'Componentes T.H.'!$Q$8</f>
        <v>1998209.5068666667</v>
      </c>
      <c r="U18" s="1238"/>
      <c r="V18" s="432">
        <f t="shared" ref="V18" si="216">+R18*S18*T18*S11</f>
        <v>44959713.9045</v>
      </c>
      <c r="W18" s="123"/>
      <c r="X18" s="124"/>
      <c r="Y18" s="124"/>
      <c r="Z18" s="124"/>
      <c r="AA18" s="937">
        <f t="shared" ref="AA18" si="217">+V18/V65</f>
        <v>6.5503670518254092E-2</v>
      </c>
      <c r="AC18" s="105">
        <v>13</v>
      </c>
      <c r="AD18" s="1233"/>
      <c r="AE18" s="289" t="str">
        <f t="shared" si="34"/>
        <v>Coordinador Metodológico</v>
      </c>
      <c r="AF18" s="125">
        <f t="shared" si="35"/>
        <v>24</v>
      </c>
      <c r="AG18" s="110">
        <f>+'Componentes T.H.'!$T$8</f>
        <v>1</v>
      </c>
      <c r="AH18" s="1237">
        <f>+'Componentes T.H.'!$Q$8</f>
        <v>1998209.5068666667</v>
      </c>
      <c r="AI18" s="1238"/>
      <c r="AJ18" s="432">
        <f t="shared" ref="AJ18" si="218">+AF18*AG18*AH18*AG11</f>
        <v>239785140.824</v>
      </c>
      <c r="AK18" s="123"/>
      <c r="AL18" s="124"/>
      <c r="AM18" s="124"/>
      <c r="AN18" s="124"/>
      <c r="AO18" s="937">
        <f t="shared" ref="AO18" si="219">+AJ18/AJ65</f>
        <v>6.6504683352163987E-2</v>
      </c>
      <c r="AQ18" s="105">
        <v>17</v>
      </c>
      <c r="AR18" s="1233"/>
      <c r="AS18" s="289" t="str">
        <f t="shared" si="38"/>
        <v>Coordinador Metodológico</v>
      </c>
      <c r="AT18" s="125">
        <f>+VLOOKUP(AR13,'Cost x Depart'!$A$2:$AL$1275,AQ18,0)</f>
        <v>7</v>
      </c>
      <c r="AU18" s="110">
        <f>+'Componentes T.H.'!$T$8</f>
        <v>1</v>
      </c>
      <c r="AV18" s="1237">
        <f>+'Componentes T.H.'!$Q$8</f>
        <v>1998209.5068666667</v>
      </c>
      <c r="AW18" s="1238"/>
      <c r="AX18" s="432">
        <f t="shared" ref="AX18" si="220">+AT18*AU18*AV18*AU11</f>
        <v>69937332.740333334</v>
      </c>
      <c r="AY18" s="123"/>
      <c r="AZ18" s="124"/>
      <c r="BA18" s="124"/>
      <c r="BB18" s="124"/>
      <c r="BC18" s="937">
        <f t="shared" ref="BC18" si="221">+AX18/AX65</f>
        <v>6.7183130571837335E-2</v>
      </c>
      <c r="BE18" s="105">
        <v>17</v>
      </c>
      <c r="BF18" s="1233"/>
      <c r="BG18" s="289" t="str">
        <f t="shared" si="41"/>
        <v>Coordinador Metodológico</v>
      </c>
      <c r="BH18" s="125">
        <f>+VLOOKUP(BF13,'Cost x Depart'!$A$2:$AL$1275,BE18,0)</f>
        <v>10.125</v>
      </c>
      <c r="BI18" s="110">
        <f>+'Componentes T.H.'!$T$8</f>
        <v>1</v>
      </c>
      <c r="BJ18" s="1237">
        <f>+'Componentes T.H.'!$Q$8</f>
        <v>1998209.5068666667</v>
      </c>
      <c r="BK18" s="1238"/>
      <c r="BL18" s="432">
        <f t="shared" ref="BL18" si="222">+BH18*BI18*BJ18*BI11</f>
        <v>101159356.285125</v>
      </c>
      <c r="BM18" s="123"/>
      <c r="BN18" s="124"/>
      <c r="BO18" s="124"/>
      <c r="BP18" s="124"/>
      <c r="BQ18" s="937">
        <f t="shared" ref="BQ18" si="223">+BL18/BL65</f>
        <v>6.7735949771402265E-2</v>
      </c>
      <c r="BS18" s="105">
        <v>17</v>
      </c>
      <c r="BT18" s="1233"/>
      <c r="BU18" s="289" t="str">
        <f t="shared" si="44"/>
        <v>Coordinador Metodológico</v>
      </c>
      <c r="BV18" s="125">
        <f>+VLOOKUP(BT13,'Cost x Depart'!$A$2:$AL$1275,BS18,0)</f>
        <v>8.75</v>
      </c>
      <c r="BW18" s="110">
        <f>+'Componentes T.H.'!$T$8</f>
        <v>1</v>
      </c>
      <c r="BX18" s="1237">
        <f>+'Componentes T.H.'!$Q$8</f>
        <v>1998209.5068666667</v>
      </c>
      <c r="BY18" s="1238"/>
      <c r="BZ18" s="432">
        <f t="shared" ref="BZ18" si="224">+BV18*BW18*BX18*BW11</f>
        <v>87421665.925416663</v>
      </c>
      <c r="CA18" s="123"/>
      <c r="CB18" s="124"/>
      <c r="CC18" s="124"/>
      <c r="CD18" s="124"/>
      <c r="CE18" s="937">
        <f t="shared" ref="CE18" si="225">+BZ18/BZ65</f>
        <v>6.8423151742551577E-2</v>
      </c>
      <c r="CG18" s="105">
        <v>17</v>
      </c>
      <c r="CH18" s="1233"/>
      <c r="CI18" s="289" t="str">
        <f t="shared" si="47"/>
        <v>Coordinador Metodológico</v>
      </c>
      <c r="CJ18" s="125">
        <f>+VLOOKUP(CH13,'Cost x Depart'!$A$2:$AL$1275,CG18,0)</f>
        <v>8.875</v>
      </c>
      <c r="CK18" s="110">
        <f>+'Componentes T.H.'!$T$8</f>
        <v>1</v>
      </c>
      <c r="CL18" s="1237">
        <f>+'Componentes T.H.'!$Q$8</f>
        <v>1998209.5068666667</v>
      </c>
      <c r="CM18" s="1238"/>
      <c r="CN18" s="432">
        <f t="shared" ref="CN18" si="226">+CJ18*CK18*CL18*CK11</f>
        <v>88670546.867208332</v>
      </c>
      <c r="CO18" s="123"/>
      <c r="CP18" s="124"/>
      <c r="CQ18" s="124"/>
      <c r="CR18" s="124"/>
      <c r="CS18" s="937">
        <f t="shared" ref="CS18" si="227">+CN18/CN65</f>
        <v>6.9429624341750304E-2</v>
      </c>
      <c r="CU18" s="105">
        <v>17</v>
      </c>
      <c r="CV18" s="1233"/>
      <c r="CW18" s="289" t="str">
        <f t="shared" si="50"/>
        <v>Coordinador Metodológico</v>
      </c>
      <c r="CX18" s="125">
        <f>+VLOOKUP(CV13,'Cost x Depart'!$A$2:$AL$1275,CU18,0)</f>
        <v>4.75</v>
      </c>
      <c r="CY18" s="110">
        <f>+'Componentes T.H.'!$T$8</f>
        <v>1</v>
      </c>
      <c r="CZ18" s="1237">
        <f>+'Componentes T.H.'!$Q$8</f>
        <v>1998209.5068666667</v>
      </c>
      <c r="DA18" s="1238"/>
      <c r="DB18" s="432">
        <f t="shared" ref="DB18" si="228">+CX18*CY18*CZ18*CY11</f>
        <v>47457475.788083337</v>
      </c>
      <c r="DC18" s="123"/>
      <c r="DD18" s="124"/>
      <c r="DE18" s="124"/>
      <c r="DF18" s="124"/>
      <c r="DG18" s="937">
        <f t="shared" ref="DG18" si="229">+DB18/DB65</f>
        <v>6.7747541997598748E-2</v>
      </c>
      <c r="DI18" s="105">
        <v>17</v>
      </c>
      <c r="DJ18" s="1233"/>
      <c r="DK18" s="289" t="str">
        <f t="shared" si="53"/>
        <v>Coordinador Metodológico</v>
      </c>
      <c r="DL18" s="125">
        <f>+VLOOKUP(DJ13,'Cost x Depart'!$A$2:$AL$1275,DI18,0)</f>
        <v>9.5</v>
      </c>
      <c r="DM18" s="110">
        <f>+'Componentes T.H.'!$T$8</f>
        <v>1</v>
      </c>
      <c r="DN18" s="1237">
        <f>+'Componentes T.H.'!$Q$8</f>
        <v>1998209.5068666667</v>
      </c>
      <c r="DO18" s="1238"/>
      <c r="DP18" s="432">
        <f t="shared" ref="DP18" si="230">+DL18*DM18*DN18*DM11</f>
        <v>94914951.576166674</v>
      </c>
      <c r="DQ18" s="123"/>
      <c r="DR18" s="124"/>
      <c r="DS18" s="124"/>
      <c r="DT18" s="124"/>
      <c r="DU18" s="937">
        <f t="shared" ref="DU18" si="231">+DP18/DP65</f>
        <v>6.6648197038538415E-2</v>
      </c>
      <c r="DW18" s="105">
        <v>17</v>
      </c>
      <c r="DX18" s="1233"/>
      <c r="DY18" s="289" t="str">
        <f t="shared" si="56"/>
        <v>Coordinador Metodológico</v>
      </c>
      <c r="DZ18" s="125">
        <f>+VLOOKUP(DX13,'Cost x Depart'!$A$2:$AL$1275,DW18,0)</f>
        <v>6.875</v>
      </c>
      <c r="EA18" s="110">
        <f>+'Componentes T.H.'!$T$8</f>
        <v>1</v>
      </c>
      <c r="EB18" s="1237">
        <f>+'Componentes T.H.'!$Q$8</f>
        <v>1998209.5068666667</v>
      </c>
      <c r="EC18" s="1238"/>
      <c r="ED18" s="432">
        <f t="shared" ref="ED18" si="232">+DZ18*EA18*EB18*EA11</f>
        <v>68688451.798541665</v>
      </c>
      <c r="EE18" s="123"/>
      <c r="EF18" s="124"/>
      <c r="EG18" s="124"/>
      <c r="EH18" s="124"/>
      <c r="EI18" s="937">
        <f t="shared" ref="EI18" si="233">+ED18/ED65</f>
        <v>6.7150845801524348E-2</v>
      </c>
      <c r="EK18" s="105">
        <v>17</v>
      </c>
      <c r="EL18" s="1233"/>
      <c r="EM18" s="289" t="str">
        <f t="shared" si="59"/>
        <v>Coordinador Metodológico</v>
      </c>
      <c r="EN18" s="125">
        <f>+VLOOKUP(EL13,'Cost x Depart'!$A$2:$AL$1275,EK18,0)</f>
        <v>9.875</v>
      </c>
      <c r="EO18" s="110">
        <f>+'Componentes T.H.'!$T$8</f>
        <v>1</v>
      </c>
      <c r="EP18" s="1237">
        <f>+'Componentes T.H.'!$Q$8</f>
        <v>1998209.5068666667</v>
      </c>
      <c r="EQ18" s="1238"/>
      <c r="ER18" s="432">
        <f t="shared" ref="ER18" si="234">+EN18*EO18*EP18*EO11</f>
        <v>98661594.401541665</v>
      </c>
      <c r="ES18" s="123"/>
      <c r="ET18" s="124"/>
      <c r="EU18" s="124"/>
      <c r="EV18" s="124"/>
      <c r="EW18" s="937">
        <f t="shared" ref="EW18" si="235">+ER18/ER65</f>
        <v>6.7704356803949942E-2</v>
      </c>
      <c r="EY18" s="105">
        <v>17</v>
      </c>
      <c r="EZ18" s="1233"/>
      <c r="FA18" s="289" t="str">
        <f t="shared" si="62"/>
        <v>Coordinador Metodológico</v>
      </c>
      <c r="FB18" s="125">
        <f>+VLOOKUP(EZ13,'Cost x Depart'!$A$2:$AL$1275,EY18,0)</f>
        <v>10.625</v>
      </c>
      <c r="FC18" s="110">
        <f>+'Componentes T.H.'!$T$8</f>
        <v>1</v>
      </c>
      <c r="FD18" s="1237">
        <f>+'Componentes T.H.'!$Q$8</f>
        <v>1998209.5068666667</v>
      </c>
      <c r="FE18" s="1238"/>
      <c r="FF18" s="432">
        <f t="shared" ref="FF18" si="236">+FB18*FC18*FD18*FC11</f>
        <v>106154880.05229168</v>
      </c>
      <c r="FG18" s="123"/>
      <c r="FH18" s="124"/>
      <c r="FI18" s="124"/>
      <c r="FJ18" s="124"/>
      <c r="FK18" s="937">
        <f t="shared" ref="FK18" si="237">+FF18/FF65</f>
        <v>6.7719479524234738E-2</v>
      </c>
      <c r="FM18" s="105">
        <v>17</v>
      </c>
      <c r="FN18" s="1233"/>
      <c r="FO18" s="289" t="str">
        <f t="shared" si="65"/>
        <v>Coordinador Metodológico</v>
      </c>
      <c r="FP18" s="125">
        <f>+VLOOKUP(FN13,'Cost x Depart'!$A$2:$AL$1275,FM18,0)</f>
        <v>7.6875</v>
      </c>
      <c r="FQ18" s="110">
        <f>+'Componentes T.H.'!$T$8</f>
        <v>1</v>
      </c>
      <c r="FR18" s="1237">
        <f>+'Componentes T.H.'!$Q$8</f>
        <v>1998209.5068666667</v>
      </c>
      <c r="FS18" s="1238"/>
      <c r="FT18" s="432">
        <f t="shared" ref="FT18" si="238">+FP18*FQ18*FR18*FQ11</f>
        <v>76806177.920187503</v>
      </c>
      <c r="FU18" s="123"/>
      <c r="FV18" s="124"/>
      <c r="FW18" s="124"/>
      <c r="FX18" s="124"/>
      <c r="FY18" s="937">
        <f t="shared" ref="FY18" si="239">+FT18/FT65</f>
        <v>6.7342382593682887E-2</v>
      </c>
      <c r="GA18" s="105">
        <v>17</v>
      </c>
      <c r="GB18" s="1233"/>
      <c r="GC18" s="289" t="str">
        <f t="shared" si="68"/>
        <v>Coordinador Metodológico</v>
      </c>
      <c r="GD18" s="125">
        <f>+VLOOKUP(GB13,'Cost x Depart'!$A$2:$AL$1275,GA18,0)</f>
        <v>6.0625</v>
      </c>
      <c r="GE18" s="110">
        <f>+'Componentes T.H.'!$T$8</f>
        <v>1</v>
      </c>
      <c r="GF18" s="1237">
        <f>+'Componentes T.H.'!$Q$8</f>
        <v>1998209.5068666667</v>
      </c>
      <c r="GG18" s="1238"/>
      <c r="GH18" s="432">
        <f t="shared" ref="GH18" si="240">+GD18*GE18*GF18*GE11</f>
        <v>60570725.676895835</v>
      </c>
      <c r="GI18" s="123"/>
      <c r="GJ18" s="124"/>
      <c r="GK18" s="124"/>
      <c r="GL18" s="124"/>
      <c r="GM18" s="937">
        <f t="shared" ref="GM18" si="241">+GH18/GH65</f>
        <v>6.869182154785422E-2</v>
      </c>
      <c r="GO18" s="105">
        <v>17</v>
      </c>
      <c r="GP18" s="1233"/>
      <c r="GQ18" s="289" t="str">
        <f t="shared" si="71"/>
        <v>Coordinador Metodológico</v>
      </c>
      <c r="GR18" s="125">
        <f>+VLOOKUP(GP13,'Cost x Depart'!$A$2:$AL$1275,GO18,0)</f>
        <v>3.75</v>
      </c>
      <c r="GS18" s="110">
        <f>+'Componentes T.H.'!$T$8</f>
        <v>1</v>
      </c>
      <c r="GT18" s="1237">
        <f>+'Componentes T.H.'!$Q$8</f>
        <v>1998209.5068666667</v>
      </c>
      <c r="GU18" s="1238"/>
      <c r="GV18" s="432">
        <f t="shared" ref="GV18" si="242">+GR18*GS18*GT18*GS11</f>
        <v>37466428.253749996</v>
      </c>
      <c r="GW18" s="123"/>
      <c r="GX18" s="124"/>
      <c r="GY18" s="124"/>
      <c r="GZ18" s="124"/>
      <c r="HA18" s="937">
        <f t="shared" ref="HA18" si="243">+GV18/GV65</f>
        <v>6.7929657378329261E-2</v>
      </c>
      <c r="HC18" s="105">
        <v>17</v>
      </c>
      <c r="HD18" s="1233"/>
      <c r="HE18" s="289" t="str">
        <f t="shared" si="74"/>
        <v>Coordinador Metodológico</v>
      </c>
      <c r="HF18" s="125">
        <f>+VLOOKUP(HD13,'Cost x Depart'!$A$2:$AL$1275,HC18,0)</f>
        <v>12</v>
      </c>
      <c r="HG18" s="110">
        <f>+'Componentes T.H.'!$T$8</f>
        <v>1</v>
      </c>
      <c r="HH18" s="1237">
        <f>+'Componentes T.H.'!$Q$8</f>
        <v>1998209.5068666667</v>
      </c>
      <c r="HI18" s="1238"/>
      <c r="HJ18" s="432">
        <f t="shared" ref="HJ18" si="244">+HF18*HG18*HH18*HG11</f>
        <v>119892570.412</v>
      </c>
      <c r="HK18" s="123"/>
      <c r="HL18" s="124"/>
      <c r="HM18" s="124"/>
      <c r="HN18" s="124"/>
      <c r="HO18" s="937">
        <f t="shared" ref="HO18" si="245">+HJ18/HJ65</f>
        <v>6.7667740933968198E-2</v>
      </c>
      <c r="HQ18" s="105">
        <v>17</v>
      </c>
      <c r="HR18" s="1233"/>
      <c r="HS18" s="289" t="str">
        <f t="shared" si="77"/>
        <v>Coordinador Metodológico</v>
      </c>
      <c r="HT18" s="125">
        <f>+VLOOKUP(HR13,'Cost x Depart'!$A$2:$AL$1275,HQ18,0)</f>
        <v>4.25</v>
      </c>
      <c r="HU18" s="110">
        <f>+'Componentes T.H.'!$T$8</f>
        <v>1</v>
      </c>
      <c r="HV18" s="1237">
        <f>+'Componentes T.H.'!$Q$8</f>
        <v>1998209.5068666667</v>
      </c>
      <c r="HW18" s="1238"/>
      <c r="HX18" s="432">
        <f t="shared" ref="HX18" si="246">+HT18*HU18*HV18*HU11</f>
        <v>42461952.020916671</v>
      </c>
      <c r="HY18" s="123"/>
      <c r="HZ18" s="124"/>
      <c r="IA18" s="124"/>
      <c r="IB18" s="124"/>
      <c r="IC18" s="937">
        <f t="shared" ref="IC18" si="247">+HX18/HX65</f>
        <v>6.8229870448403215E-2</v>
      </c>
      <c r="IE18" s="105">
        <v>17</v>
      </c>
      <c r="IF18" s="1233"/>
      <c r="IG18" s="289" t="str">
        <f t="shared" si="80"/>
        <v>Coordinador Metodológico</v>
      </c>
      <c r="IH18" s="125">
        <f>+VLOOKUP(IF13,'Cost x Depart'!$A$2:$AL$1275,IE18,0)</f>
        <v>2.75</v>
      </c>
      <c r="II18" s="110">
        <f>+'Componentes T.H.'!$T$8</f>
        <v>1</v>
      </c>
      <c r="IJ18" s="1237">
        <f>+'Componentes T.H.'!$Q$8</f>
        <v>1998209.5068666667</v>
      </c>
      <c r="IK18" s="1238"/>
      <c r="IL18" s="432">
        <f t="shared" ref="IL18" si="248">+IH18*II18*IJ18*II11</f>
        <v>27475380.719416667</v>
      </c>
      <c r="IM18" s="123"/>
      <c r="IN18" s="124"/>
      <c r="IO18" s="124"/>
      <c r="IP18" s="124"/>
      <c r="IQ18" s="937">
        <f t="shared" ref="IQ18" si="249">+IL18/IL65</f>
        <v>6.5635634364540327E-2</v>
      </c>
      <c r="IS18" s="105">
        <v>17</v>
      </c>
      <c r="IT18" s="1233"/>
      <c r="IU18" s="289" t="str">
        <f t="shared" si="83"/>
        <v>Coordinador Metodológico</v>
      </c>
      <c r="IV18" s="125">
        <f>+VLOOKUP(IT13,'Cost x Depart'!$A$2:$AL$1275,IS18,0)</f>
        <v>17.75</v>
      </c>
      <c r="IW18" s="110">
        <f>+'Componentes T.H.'!$T$8</f>
        <v>1</v>
      </c>
      <c r="IX18" s="1237">
        <f>+'Componentes T.H.'!$Q$8</f>
        <v>1998209.5068666667</v>
      </c>
      <c r="IY18" s="1238"/>
      <c r="IZ18" s="432">
        <f t="shared" ref="IZ18" si="250">+IV18*IW18*IX18*IW11</f>
        <v>177341093.73441666</v>
      </c>
      <c r="JA18" s="123"/>
      <c r="JB18" s="124"/>
      <c r="JC18" s="124"/>
      <c r="JD18" s="124"/>
      <c r="JE18" s="937">
        <f t="shared" ref="JE18" si="251">+IZ18/IZ65</f>
        <v>6.8127991554427073E-2</v>
      </c>
      <c r="JG18" s="105">
        <v>13</v>
      </c>
      <c r="JH18" s="1233"/>
      <c r="JI18" s="289" t="str">
        <f t="shared" si="86"/>
        <v>Coordinador Metodológico</v>
      </c>
      <c r="JJ18" s="125">
        <f t="shared" si="87"/>
        <v>20.5</v>
      </c>
      <c r="JK18" s="110">
        <f>+'Componentes T.H.'!$T$8</f>
        <v>1</v>
      </c>
      <c r="JL18" s="1237">
        <f>+'Componentes T.H.'!$Q$8</f>
        <v>1998209.5068666667</v>
      </c>
      <c r="JM18" s="1238"/>
      <c r="JN18" s="432">
        <f t="shared" ref="JN18" si="252">+JJ18*JK18*JL18*JK11</f>
        <v>204816474.45383334</v>
      </c>
      <c r="JO18" s="123"/>
      <c r="JP18" s="124"/>
      <c r="JQ18" s="124"/>
      <c r="JR18" s="124"/>
      <c r="JS18" s="937">
        <f t="shared" ref="JS18" si="253">+JN18/JN65</f>
        <v>6.7782713971808822E-2</v>
      </c>
      <c r="JU18" s="105">
        <v>17</v>
      </c>
      <c r="JV18" s="1233"/>
      <c r="JW18" s="289" t="str">
        <f t="shared" si="90"/>
        <v>Coordinador Metodológico</v>
      </c>
      <c r="JX18" s="125">
        <f>+VLOOKUP(JV13,'Cost x Depart'!$A$2:$AL$1275,JU18,0)</f>
        <v>5.875</v>
      </c>
      <c r="JY18" s="110">
        <f>+'Componentes T.H.'!$T$8</f>
        <v>1</v>
      </c>
      <c r="JZ18" s="1237">
        <f>+'Componentes T.H.'!$Q$8</f>
        <v>1998209.5068666667</v>
      </c>
      <c r="KA18" s="1238"/>
      <c r="KB18" s="432">
        <f t="shared" ref="KB18" si="254">+JX18*JY18*JZ18*JY11</f>
        <v>58697404.264208339</v>
      </c>
      <c r="KC18" s="123"/>
      <c r="KD18" s="124"/>
      <c r="KE18" s="124"/>
      <c r="KF18" s="124"/>
      <c r="KG18" s="937">
        <f t="shared" ref="KG18" si="255">+KB18/KB65</f>
        <v>6.6927383627360712E-2</v>
      </c>
      <c r="KI18" s="105">
        <v>17</v>
      </c>
      <c r="KJ18" s="1233"/>
      <c r="KK18" s="289" t="str">
        <f t="shared" si="93"/>
        <v>Coordinador Metodológico</v>
      </c>
      <c r="KL18" s="125">
        <f>+VLOOKUP(KJ13,'Cost x Depart'!$A$2:$AL$1275,KI18,0)</f>
        <v>3.5</v>
      </c>
      <c r="KM18" s="110">
        <f>+'Componentes T.H.'!$T$8</f>
        <v>1</v>
      </c>
      <c r="KN18" s="1237">
        <f>+'Componentes T.H.'!$Q$8</f>
        <v>1998209.5068666667</v>
      </c>
      <c r="KO18" s="1238"/>
      <c r="KP18" s="432">
        <f t="shared" ref="KP18" si="256">+KL18*KM18*KN18*KM11</f>
        <v>34968666.370166667</v>
      </c>
      <c r="KQ18" s="123"/>
      <c r="KR18" s="124"/>
      <c r="KS18" s="124"/>
      <c r="KT18" s="124"/>
      <c r="KU18" s="937">
        <f t="shared" ref="KU18" si="257">+KP18/KP65</f>
        <v>6.6306463344062469E-2</v>
      </c>
      <c r="KW18" s="105">
        <v>17</v>
      </c>
      <c r="KX18" s="1233"/>
      <c r="KY18" s="289" t="str">
        <f t="shared" si="96"/>
        <v>Coordinador Metodológico</v>
      </c>
      <c r="KZ18" s="125">
        <f>+VLOOKUP(KX13,'Cost x Depart'!$A$2:$AL$1275,KW18,0)</f>
        <v>2.875</v>
      </c>
      <c r="LA18" s="110">
        <f>+'Componentes T.H.'!$T$8</f>
        <v>1</v>
      </c>
      <c r="LB18" s="1237">
        <f>+'Componentes T.H.'!$Q$8</f>
        <v>1998209.5068666667</v>
      </c>
      <c r="LC18" s="1238"/>
      <c r="LD18" s="432">
        <f t="shared" ref="LD18" si="258">+KZ18*LA18*LB18*LA11</f>
        <v>28724261.661208332</v>
      </c>
      <c r="LE18" s="123"/>
      <c r="LF18" s="124"/>
      <c r="LG18" s="124"/>
      <c r="LH18" s="124"/>
      <c r="LI18" s="937">
        <f t="shared" ref="LI18" si="259">+LD18/LD65</f>
        <v>6.6955031324497025E-2</v>
      </c>
      <c r="LK18" s="105">
        <v>17</v>
      </c>
      <c r="LL18" s="1233"/>
      <c r="LM18" s="289" t="str">
        <f t="shared" si="99"/>
        <v>Coordinador Metodológico</v>
      </c>
      <c r="LN18" s="125">
        <f>+VLOOKUP(LL13,'Cost x Depart'!$A$2:$AL$1275,LK18,0)</f>
        <v>7.5625</v>
      </c>
      <c r="LO18" s="110">
        <f>+'Componentes T.H.'!$T$8</f>
        <v>1</v>
      </c>
      <c r="LP18" s="1237">
        <f>+'Componentes T.H.'!$Q$8</f>
        <v>1998209.5068666667</v>
      </c>
      <c r="LQ18" s="1238"/>
      <c r="LR18" s="432">
        <f t="shared" ref="LR18" si="260">+LN18*LO18*LP18*LO11</f>
        <v>75557296.978395835</v>
      </c>
      <c r="LS18" s="123"/>
      <c r="LT18" s="124"/>
      <c r="LU18" s="124"/>
      <c r="LV18" s="124"/>
      <c r="LW18" s="937">
        <f t="shared" ref="LW18" si="261">+LR18/LR65</f>
        <v>6.7315528534565586E-2</v>
      </c>
      <c r="LY18" s="105">
        <v>17</v>
      </c>
      <c r="LZ18" s="1233"/>
      <c r="MA18" s="289" t="str">
        <f t="shared" si="102"/>
        <v>Coordinador Metodológico</v>
      </c>
      <c r="MB18" s="125">
        <f>+VLOOKUP(LZ13,'Cost x Depart'!$A$2:$AL$1275,LY18,0)</f>
        <v>7.5</v>
      </c>
      <c r="MC18" s="110">
        <f>+'Componentes T.H.'!$T$8</f>
        <v>1</v>
      </c>
      <c r="MD18" s="1237">
        <f>+'Componentes T.H.'!$Q$8</f>
        <v>1998209.5068666667</v>
      </c>
      <c r="ME18" s="1238"/>
      <c r="MF18" s="432">
        <f t="shared" ref="MF18" si="262">+MB18*MC18*MD18*MC11</f>
        <v>74932856.507499993</v>
      </c>
      <c r="MG18" s="123"/>
      <c r="MH18" s="124"/>
      <c r="MI18" s="124"/>
      <c r="MJ18" s="124"/>
      <c r="MK18" s="937">
        <f t="shared" ref="MK18" si="263">+MF18/MF65</f>
        <v>6.7301774128385353E-2</v>
      </c>
      <c r="MM18" s="105">
        <v>17</v>
      </c>
      <c r="MN18" s="1233"/>
      <c r="MO18" s="289" t="str">
        <f t="shared" si="105"/>
        <v>Coordinador Metodológico</v>
      </c>
      <c r="MP18" s="125">
        <f>+VLOOKUP(MN13,'Cost x Depart'!$A$2:$AL$1275,MM18,0)</f>
        <v>7.875</v>
      </c>
      <c r="MQ18" s="110">
        <f>+'Componentes T.H.'!$T$8</f>
        <v>1</v>
      </c>
      <c r="MR18" s="1237">
        <f>+'Componentes T.H.'!$Q$8</f>
        <v>1998209.5068666667</v>
      </c>
      <c r="MS18" s="1238"/>
      <c r="MT18" s="432">
        <f t="shared" ref="MT18" si="264">+MP18*MQ18*MR18*MQ11</f>
        <v>78679499.332874998</v>
      </c>
      <c r="MU18" s="123"/>
      <c r="MV18" s="124"/>
      <c r="MW18" s="124"/>
      <c r="MX18" s="124"/>
      <c r="MY18" s="937">
        <f t="shared" ref="MY18" si="265">+MT18/MT65</f>
        <v>6.9059678100461486E-2</v>
      </c>
      <c r="NA18" s="105">
        <v>17</v>
      </c>
      <c r="NB18" s="1233"/>
      <c r="NC18" s="289" t="str">
        <f t="shared" si="108"/>
        <v>Coordinador Metodológico</v>
      </c>
      <c r="ND18" s="125">
        <f>+VLOOKUP(NB13,'Cost x Depart'!$A$2:$AL$1275,NA18,0)</f>
        <v>14.6875</v>
      </c>
      <c r="NE18" s="110">
        <f>+'Componentes T.H.'!$T$8</f>
        <v>1</v>
      </c>
      <c r="NF18" s="1237">
        <f>+'Componentes T.H.'!$Q$8</f>
        <v>1998209.5068666667</v>
      </c>
      <c r="NG18" s="1238"/>
      <c r="NH18" s="432">
        <f t="shared" ref="NH18" si="266">+ND18*NE18*NF18*NE11</f>
        <v>146743510.66052082</v>
      </c>
      <c r="NI18" s="123"/>
      <c r="NJ18" s="124"/>
      <c r="NK18" s="124"/>
      <c r="NL18" s="124"/>
      <c r="NM18" s="937">
        <f t="shared" ref="NM18" si="267">+NH18/NH65</f>
        <v>6.7301601440354922E-2</v>
      </c>
      <c r="NO18" s="105">
        <v>17</v>
      </c>
      <c r="NP18" s="1233"/>
      <c r="NQ18" s="289" t="str">
        <f t="shared" si="111"/>
        <v>Coordinador Metodológico</v>
      </c>
      <c r="NR18" s="125">
        <f>+VLOOKUP(NP13,'Cost x Depart'!$A$2:$AL$1275,NO18,0)</f>
        <v>2.375</v>
      </c>
      <c r="NS18" s="110">
        <f>+'Componentes T.H.'!$T$8</f>
        <v>1</v>
      </c>
      <c r="NT18" s="1237">
        <f>+'Componentes T.H.'!$Q$8</f>
        <v>1998209.5068666667</v>
      </c>
      <c r="NU18" s="1238"/>
      <c r="NV18" s="432">
        <f t="shared" ref="NV18" si="268">+NR18*NS18*NT18*NS11</f>
        <v>23728737.894041669</v>
      </c>
      <c r="NW18" s="123"/>
      <c r="NX18" s="124"/>
      <c r="NY18" s="124"/>
      <c r="NZ18" s="124"/>
      <c r="OA18" s="937">
        <f t="shared" ref="OA18" si="269">+NV18/NV65</f>
        <v>6.8364351356207803E-2</v>
      </c>
      <c r="OC18" s="105">
        <v>17</v>
      </c>
      <c r="OD18" s="1233"/>
      <c r="OE18" s="289" t="str">
        <f t="shared" si="114"/>
        <v>Coordinador Metodológico</v>
      </c>
      <c r="OF18" s="125">
        <f>+VLOOKUP(OD13,'Cost x Depart'!$A$2:$AL$1275,OC18,0)</f>
        <v>3</v>
      </c>
      <c r="OG18" s="110">
        <f>+'Componentes T.H.'!$T$8</f>
        <v>1</v>
      </c>
      <c r="OH18" s="1237">
        <f>+'Componentes T.H.'!$Q$8</f>
        <v>1998209.5068666667</v>
      </c>
      <c r="OI18" s="1238"/>
      <c r="OJ18" s="432">
        <f t="shared" ref="OJ18" si="270">+OF18*OG18*OH18*OG11</f>
        <v>29973142.603</v>
      </c>
      <c r="OK18" s="123"/>
      <c r="OL18" s="124"/>
      <c r="OM18" s="124"/>
      <c r="ON18" s="124"/>
      <c r="OO18" s="937">
        <f t="shared" ref="OO18" si="271">+OJ18/OJ65</f>
        <v>6.6259694081708689E-2</v>
      </c>
      <c r="OQ18" s="105">
        <v>17</v>
      </c>
      <c r="OR18" s="1233"/>
      <c r="OS18" s="289" t="str">
        <f t="shared" si="117"/>
        <v>Coordinador Metodológico</v>
      </c>
      <c r="OT18" s="125">
        <f>+VLOOKUP(OR13,'Cost x Depart'!$A$2:$AL$1275,OQ18,0)</f>
        <v>3.875</v>
      </c>
      <c r="OU18" s="110">
        <f>+'Componentes T.H.'!$T$8</f>
        <v>1</v>
      </c>
      <c r="OV18" s="1237">
        <f>+'Componentes T.H.'!$Q$8</f>
        <v>1998209.5068666667</v>
      </c>
      <c r="OW18" s="1238"/>
      <c r="OX18" s="432">
        <f t="shared" ref="OX18" si="272">+OT18*OU18*OV18*OU11</f>
        <v>38715309.195541672</v>
      </c>
      <c r="OY18" s="123"/>
      <c r="OZ18" s="124"/>
      <c r="PA18" s="124"/>
      <c r="PB18" s="124"/>
      <c r="PC18" s="937">
        <f t="shared" ref="PC18" si="273">+OX18/OX65</f>
        <v>6.7742927649382251E-2</v>
      </c>
      <c r="PE18" s="105">
        <v>17</v>
      </c>
      <c r="PF18" s="1233"/>
      <c r="PG18" s="289" t="str">
        <f t="shared" si="120"/>
        <v>Coordinador Metodológico</v>
      </c>
      <c r="PH18" s="125">
        <f>+VLOOKUP(PF13,'Cost x Depart'!$A$2:$AL$1275,PE18,0)</f>
        <v>0.9375</v>
      </c>
      <c r="PI18" s="110">
        <f>+'Componentes T.H.'!$T$8</f>
        <v>1</v>
      </c>
      <c r="PJ18" s="1237">
        <f>+'Componentes T.H.'!$Q$8</f>
        <v>1998209.5068666667</v>
      </c>
      <c r="PK18" s="1238"/>
      <c r="PL18" s="432">
        <f t="shared" ref="PL18" si="274">+PH18*PI18*PJ18*PI11</f>
        <v>9366607.0634374991</v>
      </c>
      <c r="PM18" s="123"/>
      <c r="PN18" s="124"/>
      <c r="PO18" s="124"/>
      <c r="PP18" s="124"/>
      <c r="PQ18" s="937">
        <f t="shared" ref="PQ18" si="275">+PL18/PL65</f>
        <v>6.4450153137007873E-2</v>
      </c>
      <c r="PS18" s="105">
        <v>17</v>
      </c>
      <c r="PT18" s="1233"/>
      <c r="PU18" s="289" t="str">
        <f t="shared" si="123"/>
        <v>Coordinador Metodológico</v>
      </c>
      <c r="PV18" s="125">
        <f>+VLOOKUP(PT13,'Cost x Depart'!$A$2:$AL$1275,PS18,0)</f>
        <v>1.5</v>
      </c>
      <c r="PW18" s="110">
        <f>+'Componentes T.H.'!$T$8</f>
        <v>1</v>
      </c>
      <c r="PX18" s="1237">
        <f>+'Componentes T.H.'!$Q$8</f>
        <v>1998209.5068666667</v>
      </c>
      <c r="PY18" s="1238"/>
      <c r="PZ18" s="432">
        <f t="shared" ref="PZ18" si="276">+PV18*PW18*PX18*PW11</f>
        <v>14986571.3015</v>
      </c>
      <c r="QA18" s="123"/>
      <c r="QB18" s="124"/>
      <c r="QC18" s="124"/>
      <c r="QD18" s="124"/>
      <c r="QE18" s="937">
        <f t="shared" ref="QE18" si="277">+PZ18/PZ65</f>
        <v>6.6820488478937332E-2</v>
      </c>
      <c r="QG18" s="105">
        <v>17</v>
      </c>
      <c r="QH18" s="1233"/>
      <c r="QI18" s="289" t="str">
        <f t="shared" si="126"/>
        <v>Coordinador Metodológico</v>
      </c>
      <c r="QJ18" s="125">
        <f>+VLOOKUP(QH13,'Cost x Depart'!$A$2:$AL$1275,QG18,0)</f>
        <v>0.5</v>
      </c>
      <c r="QK18" s="110">
        <f>+'Componentes T.H.'!$T$8</f>
        <v>1</v>
      </c>
      <c r="QL18" s="1237">
        <f>+'Componentes T.H.'!$Q$8</f>
        <v>1998209.5068666667</v>
      </c>
      <c r="QM18" s="1238"/>
      <c r="QN18" s="432">
        <f t="shared" ref="QN18" si="278">+QJ18*QK18*QL18*QK11</f>
        <v>4995523.7671666667</v>
      </c>
      <c r="QO18" s="123"/>
      <c r="QP18" s="124"/>
      <c r="QQ18" s="124"/>
      <c r="QR18" s="124"/>
      <c r="QS18" s="937">
        <f t="shared" ref="QS18" si="279">+QN18/QN65</f>
        <v>5.9523359562320077E-2</v>
      </c>
      <c r="QU18" s="105">
        <v>17</v>
      </c>
      <c r="QV18" s="1233"/>
      <c r="QW18" s="289" t="str">
        <f t="shared" si="129"/>
        <v>Coordinador Metodológico</v>
      </c>
      <c r="QX18" s="125">
        <f>+VLOOKUP(QV13,'Cost x Depart'!$A$2:$AL$1275,QU18,0)</f>
        <v>1.25</v>
      </c>
      <c r="QY18" s="110">
        <f>+'Componentes T.H.'!$T$8</f>
        <v>1</v>
      </c>
      <c r="QZ18" s="1237">
        <f>+'Componentes T.H.'!$Q$8</f>
        <v>1998209.5068666667</v>
      </c>
      <c r="RA18" s="1238"/>
      <c r="RB18" s="432">
        <f t="shared" ref="RB18" si="280">+QX18*QY18*QZ18*QY11</f>
        <v>12488809.417916667</v>
      </c>
      <c r="RC18" s="123"/>
      <c r="RD18" s="124"/>
      <c r="RE18" s="124"/>
      <c r="RF18" s="124"/>
      <c r="RG18" s="937">
        <f t="shared" ref="RG18" si="281">+RB18/RB65</f>
        <v>6.6011238927265847E-2</v>
      </c>
      <c r="RI18" s="105">
        <v>17</v>
      </c>
      <c r="RJ18" s="1233"/>
      <c r="RK18" s="289" t="str">
        <f t="shared" si="132"/>
        <v>Coordinador Metodológico</v>
      </c>
      <c r="RL18" s="125">
        <f>+VLOOKUP(RJ13,'Cost x Depart'!$A$2:$AL$1275,RI18,0)</f>
        <v>0.5</v>
      </c>
      <c r="RM18" s="110">
        <f>+'Componentes T.H.'!$T$8</f>
        <v>1</v>
      </c>
      <c r="RN18" s="1237">
        <f>+'Componentes T.H.'!$Q$8</f>
        <v>1998209.5068666667</v>
      </c>
      <c r="RO18" s="1238"/>
      <c r="RP18" s="432">
        <f t="shared" ref="RP18" si="282">+RL18*RM18*RN18*RM11</f>
        <v>4995523.7671666667</v>
      </c>
      <c r="RQ18" s="123"/>
      <c r="RR18" s="124"/>
      <c r="RS18" s="124"/>
      <c r="RT18" s="124"/>
      <c r="RU18" s="937">
        <f t="shared" ref="RU18" si="283">+RP18/RP65</f>
        <v>5.9363874881201033E-2</v>
      </c>
      <c r="RW18" s="105">
        <v>17</v>
      </c>
      <c r="RX18" s="1233"/>
      <c r="RY18" s="289" t="str">
        <f t="shared" si="135"/>
        <v>Coordinador Metodológico</v>
      </c>
      <c r="RZ18" s="125">
        <f>+VLOOKUP(RX13,'Cost x Depart'!$A$2:$AL$1275,RW18,0)</f>
        <v>0.8125</v>
      </c>
      <c r="SA18" s="110">
        <f>+'Componentes T.H.'!$T$8</f>
        <v>1</v>
      </c>
      <c r="SB18" s="1237">
        <f>+'Componentes T.H.'!$Q$8</f>
        <v>1998209.5068666667</v>
      </c>
      <c r="SC18" s="1238"/>
      <c r="SD18" s="432">
        <f t="shared" ref="SD18" si="284">+RZ18*SA18*SB18*SA11</f>
        <v>8117726.1216458343</v>
      </c>
      <c r="SE18" s="123"/>
      <c r="SF18" s="124"/>
      <c r="SG18" s="124"/>
      <c r="SH18" s="124"/>
      <c r="SI18" s="937">
        <f t="shared" ref="SI18" si="285">+SD18/SD65</f>
        <v>6.3525657868745089E-2</v>
      </c>
      <c r="SK18" s="105">
        <v>17</v>
      </c>
      <c r="SL18" s="1233"/>
      <c r="SM18" s="289" t="str">
        <f t="shared" si="138"/>
        <v>Coordinador Metodológico</v>
      </c>
      <c r="SN18" s="125">
        <f>+VLOOKUP(SL13,'Cost x Depart'!$A$2:$AL$1275,SK18,0)</f>
        <v>0</v>
      </c>
      <c r="SO18" s="110">
        <f>+'Componentes T.H.'!$T$8</f>
        <v>1</v>
      </c>
      <c r="SP18" s="1237">
        <f>+'Componentes T.H.'!$Q$8</f>
        <v>1998209.5068666667</v>
      </c>
      <c r="SQ18" s="1238"/>
      <c r="SR18" s="432">
        <f t="shared" ref="SR18" si="286">+SN18*SO18*SP18*SO11</f>
        <v>0</v>
      </c>
      <c r="SS18" s="123"/>
      <c r="ST18" s="124"/>
      <c r="SU18" s="124"/>
      <c r="SV18" s="124"/>
      <c r="SW18" s="937">
        <f>IF(ISERROR((+SR18/SR65)),0,(+SR18/SR65))</f>
        <v>0</v>
      </c>
      <c r="SY18" s="105">
        <v>13</v>
      </c>
      <c r="SZ18" s="1233"/>
      <c r="TA18" s="289" t="str">
        <f t="shared" si="140"/>
        <v>Coordinador Metodológico</v>
      </c>
      <c r="TB18" s="125">
        <f t="shared" si="141"/>
        <v>219.25</v>
      </c>
      <c r="TC18" s="110">
        <f>+'Componentes T.H.'!$T$8</f>
        <v>1</v>
      </c>
      <c r="TD18" s="1237">
        <f>+'Componentes T.H.'!$Q$8</f>
        <v>1998209.5068666667</v>
      </c>
      <c r="TE18" s="1238"/>
      <c r="TF18" s="432">
        <f t="shared" ref="TF18" si="287">+TB18*TC18*TD18*TC11</f>
        <v>2190537171.9025836</v>
      </c>
      <c r="TG18" s="123"/>
      <c r="TH18" s="124"/>
      <c r="TI18" s="124"/>
      <c r="TJ18" s="124"/>
      <c r="TK18" s="937">
        <f t="shared" ref="TK18" si="288">+TF18/TF65</f>
        <v>6.746077223479012E-2</v>
      </c>
    </row>
    <row r="19" spans="1:531" ht="15.75" customHeight="1">
      <c r="A19" s="105">
        <v>18</v>
      </c>
      <c r="B19" s="1233"/>
      <c r="C19" s="290" t="str">
        <f>+'Componentes T.H.'!B9</f>
        <v xml:space="preserve">Promotor de Derechos </v>
      </c>
      <c r="D19" s="125">
        <f>+VLOOKUP(B13,'Cost x Depart'!$A$2:$AL$1275,A19,0)</f>
        <v>156</v>
      </c>
      <c r="E19" s="110">
        <f>+'Componentes T.H.'!$T$9</f>
        <v>1</v>
      </c>
      <c r="F19" s="1238">
        <f>+'Componentes T.H.'!$Q$9</f>
        <v>1003701.4142</v>
      </c>
      <c r="G19" s="1240"/>
      <c r="H19" s="432">
        <f>+D19*E19*F19*E11</f>
        <v>782887103.07600009</v>
      </c>
      <c r="I19" s="123"/>
      <c r="J19" s="124"/>
      <c r="K19" s="124"/>
      <c r="L19" s="124"/>
      <c r="M19" s="937">
        <f>+H19/H65</f>
        <v>0.26818841087374545</v>
      </c>
      <c r="O19" s="105">
        <v>18</v>
      </c>
      <c r="P19" s="1233"/>
      <c r="Q19" s="290" t="str">
        <f t="shared" si="31"/>
        <v xml:space="preserve">Promotor de Derechos </v>
      </c>
      <c r="R19" s="125">
        <f>+VLOOKUP(P13,'Cost x Depart'!$A$2:$AL$1275,O19,0)</f>
        <v>36</v>
      </c>
      <c r="S19" s="110">
        <f>+'Componentes T.H.'!$T$9</f>
        <v>1</v>
      </c>
      <c r="T19" s="1237">
        <f>+'Componentes T.H.'!$Q$9</f>
        <v>1003701.4142</v>
      </c>
      <c r="U19" s="1238"/>
      <c r="V19" s="432">
        <f t="shared" ref="V19" si="289">+R19*S19*T19*S11</f>
        <v>180666254.55599999</v>
      </c>
      <c r="W19" s="123"/>
      <c r="X19" s="124"/>
      <c r="Y19" s="124"/>
      <c r="Z19" s="124"/>
      <c r="AA19" s="937">
        <f t="shared" ref="AA19" si="290">+V19/V65</f>
        <v>0.26322015387688563</v>
      </c>
      <c r="AC19" s="105">
        <v>14</v>
      </c>
      <c r="AD19" s="1233"/>
      <c r="AE19" s="290" t="str">
        <f t="shared" si="34"/>
        <v xml:space="preserve">Promotor de Derechos </v>
      </c>
      <c r="AF19" s="125">
        <f t="shared" si="35"/>
        <v>192</v>
      </c>
      <c r="AG19" s="110">
        <f>+'Componentes T.H.'!$T$9</f>
        <v>1</v>
      </c>
      <c r="AH19" s="1237">
        <f>+'Componentes T.H.'!$Q$9</f>
        <v>1003701.4142</v>
      </c>
      <c r="AI19" s="1238"/>
      <c r="AJ19" s="432">
        <f t="shared" ref="AJ19" si="291">+AF19*AG19*AH19*AG11</f>
        <v>963553357.63199997</v>
      </c>
      <c r="AK19" s="123"/>
      <c r="AL19" s="124"/>
      <c r="AM19" s="124"/>
      <c r="AN19" s="124"/>
      <c r="AO19" s="937">
        <f t="shared" ref="AO19" si="292">+AJ19/AJ65</f>
        <v>0.26724262697022283</v>
      </c>
      <c r="AQ19" s="105">
        <v>18</v>
      </c>
      <c r="AR19" s="1233"/>
      <c r="AS19" s="290" t="str">
        <f t="shared" si="38"/>
        <v xml:space="preserve">Promotor de Derechos </v>
      </c>
      <c r="AT19" s="125">
        <f>+VLOOKUP(AR13,'Cost x Depart'!$A$2:$AL$1275,AQ19,0)</f>
        <v>56</v>
      </c>
      <c r="AU19" s="110">
        <f>+'Componentes T.H.'!$T$9</f>
        <v>1</v>
      </c>
      <c r="AV19" s="1237">
        <f>+'Componentes T.H.'!$Q$9</f>
        <v>1003701.4142</v>
      </c>
      <c r="AW19" s="1238"/>
      <c r="AX19" s="432">
        <f t="shared" ref="AX19" si="293">+AT19*AU19*AV19*AU11</f>
        <v>281036395.97599995</v>
      </c>
      <c r="AY19" s="123"/>
      <c r="AZ19" s="124"/>
      <c r="BA19" s="124"/>
      <c r="BB19" s="124"/>
      <c r="BC19" s="937">
        <f t="shared" ref="BC19" si="294">+AX19/AX65</f>
        <v>0.26996890139342472</v>
      </c>
      <c r="BE19" s="105">
        <v>18</v>
      </c>
      <c r="BF19" s="1233"/>
      <c r="BG19" s="290" t="str">
        <f t="shared" si="41"/>
        <v xml:space="preserve">Promotor de Derechos </v>
      </c>
      <c r="BH19" s="125">
        <f>+VLOOKUP(BF13,'Cost x Depart'!$A$2:$AL$1275,BE19,0)</f>
        <v>81</v>
      </c>
      <c r="BI19" s="110">
        <f>+'Componentes T.H.'!$T$9</f>
        <v>1</v>
      </c>
      <c r="BJ19" s="1237">
        <f>+'Componentes T.H.'!$Q$9</f>
        <v>1003701.4142</v>
      </c>
      <c r="BK19" s="1238"/>
      <c r="BL19" s="432">
        <f t="shared" ref="BL19" si="295">+BH19*BI19*BJ19*BI11</f>
        <v>406499072.75099999</v>
      </c>
      <c r="BM19" s="123"/>
      <c r="BN19" s="124"/>
      <c r="BO19" s="124"/>
      <c r="BP19" s="124"/>
      <c r="BQ19" s="937">
        <f t="shared" ref="BQ19" si="296">+BL19/BL65</f>
        <v>0.27219035178886525</v>
      </c>
      <c r="BS19" s="105">
        <v>18</v>
      </c>
      <c r="BT19" s="1233"/>
      <c r="BU19" s="290" t="str">
        <f t="shared" si="44"/>
        <v xml:space="preserve">Promotor de Derechos </v>
      </c>
      <c r="BV19" s="125">
        <f>+VLOOKUP(BT13,'Cost x Depart'!$A$2:$AL$1275,BS19,0)</f>
        <v>70</v>
      </c>
      <c r="BW19" s="110">
        <f>+'Componentes T.H.'!$T$9</f>
        <v>1</v>
      </c>
      <c r="BX19" s="1237">
        <f>+'Componentes T.H.'!$Q$9</f>
        <v>1003701.4142</v>
      </c>
      <c r="BY19" s="1238"/>
      <c r="BZ19" s="432">
        <f t="shared" ref="BZ19" si="297">+BV19*BW19*BX19*BW11</f>
        <v>351295494.97000003</v>
      </c>
      <c r="CA19" s="123"/>
      <c r="CB19" s="124"/>
      <c r="CC19" s="124"/>
      <c r="CD19" s="124"/>
      <c r="CE19" s="937">
        <f t="shared" ref="CE19" si="298">+BZ19/BZ65</f>
        <v>0.27495180633269906</v>
      </c>
      <c r="CG19" s="105">
        <v>18</v>
      </c>
      <c r="CH19" s="1233"/>
      <c r="CI19" s="290" t="str">
        <f t="shared" si="47"/>
        <v xml:space="preserve">Promotor de Derechos </v>
      </c>
      <c r="CJ19" s="125">
        <f>+VLOOKUP(CH13,'Cost x Depart'!$A$2:$AL$1275,CG19,0)</f>
        <v>71</v>
      </c>
      <c r="CK19" s="110">
        <f>+'Componentes T.H.'!$T$9</f>
        <v>1</v>
      </c>
      <c r="CL19" s="1237">
        <f>+'Componentes T.H.'!$Q$9</f>
        <v>1003701.4142</v>
      </c>
      <c r="CM19" s="1238"/>
      <c r="CN19" s="432">
        <f t="shared" ref="CN19" si="299">+CJ19*CK19*CL19*CK11</f>
        <v>356314002.04100001</v>
      </c>
      <c r="CO19" s="123"/>
      <c r="CP19" s="124"/>
      <c r="CQ19" s="124"/>
      <c r="CR19" s="124"/>
      <c r="CS19" s="937">
        <f t="shared" ref="CS19" si="300">+CN19/CN65</f>
        <v>0.27899621896389853</v>
      </c>
      <c r="CU19" s="105">
        <v>18</v>
      </c>
      <c r="CV19" s="1233"/>
      <c r="CW19" s="290" t="str">
        <f t="shared" si="50"/>
        <v xml:space="preserve">Promotor de Derechos </v>
      </c>
      <c r="CX19" s="125">
        <f>+VLOOKUP(CV13,'Cost x Depart'!$A$2:$AL$1275,CU19,0)</f>
        <v>38</v>
      </c>
      <c r="CY19" s="110">
        <f>+'Componentes T.H.'!$T$9</f>
        <v>1</v>
      </c>
      <c r="CZ19" s="1237">
        <f>+'Componentes T.H.'!$Q$9</f>
        <v>1003701.4142</v>
      </c>
      <c r="DA19" s="1238"/>
      <c r="DB19" s="432">
        <f t="shared" ref="DB19" si="301">+CX19*CY19*CZ19*CY11</f>
        <v>190703268.69800001</v>
      </c>
      <c r="DC19" s="123"/>
      <c r="DD19" s="124"/>
      <c r="DE19" s="124"/>
      <c r="DF19" s="124"/>
      <c r="DG19" s="937">
        <f t="shared" ref="DG19" si="302">+DB19/DB65</f>
        <v>0.27223693402676236</v>
      </c>
      <c r="DI19" s="105">
        <v>18</v>
      </c>
      <c r="DJ19" s="1233"/>
      <c r="DK19" s="290" t="str">
        <f t="shared" si="53"/>
        <v xml:space="preserve">Promotor de Derechos </v>
      </c>
      <c r="DL19" s="125">
        <f>+VLOOKUP(DJ13,'Cost x Depart'!$A$2:$AL$1275,DI19,0)</f>
        <v>76</v>
      </c>
      <c r="DM19" s="110">
        <f>+'Componentes T.H.'!$T$9</f>
        <v>1</v>
      </c>
      <c r="DN19" s="1237">
        <f>+'Componentes T.H.'!$Q$9</f>
        <v>1003701.4142</v>
      </c>
      <c r="DO19" s="1238"/>
      <c r="DP19" s="432">
        <f t="shared" ref="DP19" si="303">+DL19*DM19*DN19*DM11</f>
        <v>381406537.39600003</v>
      </c>
      <c r="DQ19" s="123"/>
      <c r="DR19" s="124"/>
      <c r="DS19" s="124"/>
      <c r="DT19" s="124"/>
      <c r="DU19" s="937">
        <f t="shared" ref="DU19" si="304">+DP19/DP65</f>
        <v>0.26781932281508225</v>
      </c>
      <c r="DW19" s="105">
        <v>18</v>
      </c>
      <c r="DX19" s="1233"/>
      <c r="DY19" s="290" t="str">
        <f t="shared" si="56"/>
        <v xml:space="preserve">Promotor de Derechos </v>
      </c>
      <c r="DZ19" s="125">
        <f>+VLOOKUP(DX13,'Cost x Depart'!$A$2:$AL$1275,DW19,0)</f>
        <v>55</v>
      </c>
      <c r="EA19" s="110">
        <f>+'Componentes T.H.'!$T$9</f>
        <v>1</v>
      </c>
      <c r="EB19" s="1237">
        <f>+'Componentes T.H.'!$Q$9</f>
        <v>1003701.4142</v>
      </c>
      <c r="EC19" s="1238"/>
      <c r="ED19" s="432">
        <f t="shared" ref="ED19" si="305">+DZ19*EA19*EB19*EA11</f>
        <v>276017888.90500003</v>
      </c>
      <c r="EE19" s="123"/>
      <c r="EF19" s="124"/>
      <c r="EG19" s="124"/>
      <c r="EH19" s="124"/>
      <c r="EI19" s="937">
        <f t="shared" ref="EI19" si="306">+ED19/ED65</f>
        <v>0.26983916817172243</v>
      </c>
      <c r="EK19" s="105">
        <v>18</v>
      </c>
      <c r="EL19" s="1233"/>
      <c r="EM19" s="290" t="str">
        <f t="shared" si="59"/>
        <v xml:space="preserve">Promotor de Derechos </v>
      </c>
      <c r="EN19" s="125">
        <f>+VLOOKUP(EL13,'Cost x Depart'!$A$2:$AL$1275,EK19,0)</f>
        <v>79</v>
      </c>
      <c r="EO19" s="110">
        <f>+'Componentes T.H.'!$T$9</f>
        <v>1</v>
      </c>
      <c r="EP19" s="1237">
        <f>+'Componentes T.H.'!$Q$9</f>
        <v>1003701.4142</v>
      </c>
      <c r="EQ19" s="1238"/>
      <c r="ER19" s="432">
        <f t="shared" ref="ER19" si="307">+EN19*EO19*EP19*EO11</f>
        <v>396462058.60899997</v>
      </c>
      <c r="ES19" s="123"/>
      <c r="ET19" s="124"/>
      <c r="EU19" s="124"/>
      <c r="EV19" s="124"/>
      <c r="EW19" s="937">
        <f t="shared" ref="EW19" si="308">+ER19/ER65</f>
        <v>0.27206339850993549</v>
      </c>
      <c r="EY19" s="105">
        <v>18</v>
      </c>
      <c r="EZ19" s="1233"/>
      <c r="FA19" s="290" t="str">
        <f t="shared" si="62"/>
        <v xml:space="preserve">Promotor de Derechos </v>
      </c>
      <c r="FB19" s="125">
        <f>+VLOOKUP(EZ13,'Cost x Depart'!$A$2:$AL$1275,EY19,0)</f>
        <v>85</v>
      </c>
      <c r="FC19" s="110">
        <f>+'Componentes T.H.'!$T$9</f>
        <v>1</v>
      </c>
      <c r="FD19" s="1237">
        <f>+'Componentes T.H.'!$Q$9</f>
        <v>1003701.4142</v>
      </c>
      <c r="FE19" s="1238"/>
      <c r="FF19" s="432">
        <f t="shared" ref="FF19" si="309">+FB19*FC19*FD19*FC11</f>
        <v>426573101.03500003</v>
      </c>
      <c r="FG19" s="123"/>
      <c r="FH19" s="124"/>
      <c r="FI19" s="124"/>
      <c r="FJ19" s="124"/>
      <c r="FK19" s="937">
        <f t="shared" ref="FK19" si="310">+FF19/FF65</f>
        <v>0.2721241676962865</v>
      </c>
      <c r="FM19" s="105">
        <v>18</v>
      </c>
      <c r="FN19" s="1233"/>
      <c r="FO19" s="290" t="str">
        <f t="shared" si="65"/>
        <v xml:space="preserve">Promotor de Derechos </v>
      </c>
      <c r="FP19" s="125">
        <f>+VLOOKUP(FN13,'Cost x Depart'!$A$2:$AL$1275,FM19,0)</f>
        <v>61.5</v>
      </c>
      <c r="FQ19" s="110">
        <f>+'Componentes T.H.'!$T$9</f>
        <v>1</v>
      </c>
      <c r="FR19" s="1237">
        <f>+'Componentes T.H.'!$Q$9</f>
        <v>1003701.4142</v>
      </c>
      <c r="FS19" s="1238"/>
      <c r="FT19" s="432">
        <f t="shared" ref="FT19" si="311">+FP19*FQ19*FR19*FQ11</f>
        <v>308638184.86650002</v>
      </c>
      <c r="FU19" s="123"/>
      <c r="FV19" s="124"/>
      <c r="FW19" s="124"/>
      <c r="FX19" s="124"/>
      <c r="FY19" s="937">
        <f t="shared" ref="FY19" si="312">+FT19/FT65</f>
        <v>0.27060884021461973</v>
      </c>
      <c r="GA19" s="105">
        <v>18</v>
      </c>
      <c r="GB19" s="1233"/>
      <c r="GC19" s="290" t="str">
        <f t="shared" si="68"/>
        <v xml:space="preserve">Promotor de Derechos </v>
      </c>
      <c r="GD19" s="125">
        <f>+VLOOKUP(GB13,'Cost x Depart'!$A$2:$AL$1275,GA19,0)</f>
        <v>48.5</v>
      </c>
      <c r="GE19" s="110">
        <f>+'Componentes T.H.'!$T$9</f>
        <v>1</v>
      </c>
      <c r="GF19" s="1237">
        <f>+'Componentes T.H.'!$Q$9</f>
        <v>1003701.4142</v>
      </c>
      <c r="GG19" s="1238"/>
      <c r="GH19" s="432">
        <f t="shared" ref="GH19" si="313">+GD19*GE19*GF19*GE11</f>
        <v>243397592.94349998</v>
      </c>
      <c r="GI19" s="123"/>
      <c r="GJ19" s="124"/>
      <c r="GK19" s="124"/>
      <c r="GL19" s="124"/>
      <c r="GM19" s="937">
        <f t="shared" ref="GM19" si="314">+GH19/GH65</f>
        <v>0.27603142991614577</v>
      </c>
      <c r="GO19" s="105">
        <v>18</v>
      </c>
      <c r="GP19" s="1233"/>
      <c r="GQ19" s="290" t="str">
        <f t="shared" si="71"/>
        <v xml:space="preserve">Promotor de Derechos </v>
      </c>
      <c r="GR19" s="125">
        <f>+VLOOKUP(GP13,'Cost x Depart'!$A$2:$AL$1275,GO19,0)</f>
        <v>30</v>
      </c>
      <c r="GS19" s="110">
        <f>+'Componentes T.H.'!$T$9</f>
        <v>1</v>
      </c>
      <c r="GT19" s="1237">
        <f>+'Componentes T.H.'!$Q$9</f>
        <v>1003701.4142</v>
      </c>
      <c r="GU19" s="1238"/>
      <c r="GV19" s="432">
        <f t="shared" ref="GV19" si="315">+GR19*GS19*GT19*GS11</f>
        <v>150555212.13</v>
      </c>
      <c r="GW19" s="123"/>
      <c r="GX19" s="124"/>
      <c r="GY19" s="124"/>
      <c r="GZ19" s="124"/>
      <c r="HA19" s="937">
        <f t="shared" ref="HA19" si="316">+GV19/GV65</f>
        <v>0.27296874704059754</v>
      </c>
      <c r="HC19" s="105">
        <v>18</v>
      </c>
      <c r="HD19" s="1233"/>
      <c r="HE19" s="290" t="str">
        <f t="shared" si="74"/>
        <v xml:space="preserve">Promotor de Derechos </v>
      </c>
      <c r="HF19" s="125">
        <f>+VLOOKUP(HD13,'Cost x Depart'!$A$2:$AL$1275,HC19,0)</f>
        <v>96</v>
      </c>
      <c r="HG19" s="110">
        <f>+'Componentes T.H.'!$T$9</f>
        <v>1</v>
      </c>
      <c r="HH19" s="1237">
        <f>+'Componentes T.H.'!$Q$9</f>
        <v>1003701.4142</v>
      </c>
      <c r="HI19" s="1238"/>
      <c r="HJ19" s="432">
        <f t="shared" ref="HJ19" si="317">+HF19*HG19*HH19*HG11</f>
        <v>481776678.81599998</v>
      </c>
      <c r="HK19" s="123"/>
      <c r="HL19" s="124"/>
      <c r="HM19" s="124"/>
      <c r="HN19" s="124"/>
      <c r="HO19" s="937">
        <f t="shared" ref="HO19" si="318">+HJ19/HJ65</f>
        <v>0.27191626118381806</v>
      </c>
      <c r="HQ19" s="105">
        <v>18</v>
      </c>
      <c r="HR19" s="1233"/>
      <c r="HS19" s="290" t="str">
        <f t="shared" si="77"/>
        <v xml:space="preserve">Promotor de Derechos </v>
      </c>
      <c r="HT19" s="125">
        <f>+VLOOKUP(HR13,'Cost x Depart'!$A$2:$AL$1275,HQ19,0)</f>
        <v>34</v>
      </c>
      <c r="HU19" s="110">
        <f>+'Componentes T.H.'!$T$9</f>
        <v>1</v>
      </c>
      <c r="HV19" s="1237">
        <f>+'Componentes T.H.'!$Q$9</f>
        <v>1003701.4142</v>
      </c>
      <c r="HW19" s="1238"/>
      <c r="HX19" s="432">
        <f t="shared" ref="HX19" si="319">+HT19*HU19*HV19*HU11</f>
        <v>170629240.414</v>
      </c>
      <c r="HY19" s="123"/>
      <c r="HZ19" s="124"/>
      <c r="IA19" s="124"/>
      <c r="IB19" s="124"/>
      <c r="IC19" s="937">
        <f t="shared" ref="IC19" si="320">+HX19/HX65</f>
        <v>0.27417512417756573</v>
      </c>
      <c r="IE19" s="105">
        <v>18</v>
      </c>
      <c r="IF19" s="1233"/>
      <c r="IG19" s="290" t="str">
        <f t="shared" si="80"/>
        <v xml:space="preserve">Promotor de Derechos </v>
      </c>
      <c r="IH19" s="125">
        <f>+VLOOKUP(IF13,'Cost x Depart'!$A$2:$AL$1275,IE19,0)</f>
        <v>22</v>
      </c>
      <c r="II19" s="110">
        <f>+'Componentes T.H.'!$T$9</f>
        <v>1</v>
      </c>
      <c r="IJ19" s="1237">
        <f>+'Componentes T.H.'!$Q$9</f>
        <v>1003701.4142</v>
      </c>
      <c r="IK19" s="1238"/>
      <c r="IL19" s="432">
        <f t="shared" ref="IL19" si="321">+IH19*II19*IJ19*II11</f>
        <v>110407155.56199999</v>
      </c>
      <c r="IM19" s="123"/>
      <c r="IN19" s="124"/>
      <c r="IO19" s="124"/>
      <c r="IP19" s="124"/>
      <c r="IQ19" s="937">
        <f t="shared" ref="IQ19" si="322">+IL19/IL65</f>
        <v>0.26375043780831769</v>
      </c>
      <c r="IS19" s="105">
        <v>18</v>
      </c>
      <c r="IT19" s="1233"/>
      <c r="IU19" s="290" t="str">
        <f t="shared" si="83"/>
        <v xml:space="preserve">Promotor de Derechos </v>
      </c>
      <c r="IV19" s="125">
        <f>+VLOOKUP(IT13,'Cost x Depart'!$A$2:$AL$1275,IS19,0)</f>
        <v>142</v>
      </c>
      <c r="IW19" s="110">
        <f>+'Componentes T.H.'!$T$9</f>
        <v>1</v>
      </c>
      <c r="IX19" s="1237">
        <f>+'Componentes T.H.'!$Q$9</f>
        <v>1003701.4142</v>
      </c>
      <c r="IY19" s="1238"/>
      <c r="IZ19" s="432">
        <f t="shared" ref="IZ19" si="323">+IV19*IW19*IX19*IW11</f>
        <v>712628004.08200002</v>
      </c>
      <c r="JA19" s="123"/>
      <c r="JB19" s="124"/>
      <c r="JC19" s="124"/>
      <c r="JD19" s="124"/>
      <c r="JE19" s="937">
        <f t="shared" ref="JE19" si="324">+IZ19/IZ65</f>
        <v>0.27376573371231339</v>
      </c>
      <c r="JG19" s="105">
        <v>14</v>
      </c>
      <c r="JH19" s="1233"/>
      <c r="JI19" s="290" t="str">
        <f t="shared" si="86"/>
        <v xml:space="preserve">Promotor de Derechos </v>
      </c>
      <c r="JJ19" s="125">
        <f t="shared" si="87"/>
        <v>164</v>
      </c>
      <c r="JK19" s="110">
        <f>+'Componentes T.H.'!$T$9</f>
        <v>1</v>
      </c>
      <c r="JL19" s="1237">
        <f>+'Componentes T.H.'!$Q$9</f>
        <v>1003701.4142</v>
      </c>
      <c r="JM19" s="1238"/>
      <c r="JN19" s="432">
        <f t="shared" ref="JN19" si="325">+JJ19*JK19*JL19*JK11</f>
        <v>823035159.64399993</v>
      </c>
      <c r="JO19" s="123"/>
      <c r="JP19" s="124"/>
      <c r="JQ19" s="124"/>
      <c r="JR19" s="124"/>
      <c r="JS19" s="937">
        <f t="shared" ref="JS19" si="326">+JN19/JN65</f>
        <v>0.27237826919760821</v>
      </c>
      <c r="JU19" s="105">
        <v>18</v>
      </c>
      <c r="JV19" s="1233"/>
      <c r="JW19" s="290" t="str">
        <f t="shared" si="90"/>
        <v xml:space="preserve">Promotor de Derechos </v>
      </c>
      <c r="JX19" s="125">
        <f>+VLOOKUP(JV13,'Cost x Depart'!$A$2:$AL$1275,JU19,0)</f>
        <v>47</v>
      </c>
      <c r="JY19" s="110">
        <f>+'Componentes T.H.'!$T$9</f>
        <v>1</v>
      </c>
      <c r="JZ19" s="1237">
        <f>+'Componentes T.H.'!$Q$9</f>
        <v>1003701.4142</v>
      </c>
      <c r="KA19" s="1238"/>
      <c r="KB19" s="432">
        <f t="shared" ref="KB19" si="327">+JX19*JY19*JZ19*JY11</f>
        <v>235869832.33700001</v>
      </c>
      <c r="KC19" s="123"/>
      <c r="KD19" s="124"/>
      <c r="KE19" s="124"/>
      <c r="KF19" s="124"/>
      <c r="KG19" s="937">
        <f t="shared" ref="KG19" si="328">+KB19/KB65</f>
        <v>0.26894120707421987</v>
      </c>
      <c r="KI19" s="105">
        <v>18</v>
      </c>
      <c r="KJ19" s="1233"/>
      <c r="KK19" s="290" t="str">
        <f t="shared" si="93"/>
        <v xml:space="preserve">Promotor de Derechos </v>
      </c>
      <c r="KL19" s="125">
        <f>+VLOOKUP(KJ13,'Cost x Depart'!$A$2:$AL$1275,KI19,0)</f>
        <v>28</v>
      </c>
      <c r="KM19" s="110">
        <f>+'Componentes T.H.'!$T$9</f>
        <v>1</v>
      </c>
      <c r="KN19" s="1237">
        <f>+'Componentes T.H.'!$Q$9</f>
        <v>1003701.4142</v>
      </c>
      <c r="KO19" s="1238"/>
      <c r="KP19" s="432">
        <f t="shared" ref="KP19" si="329">+KL19*KM19*KN19*KM11</f>
        <v>140518197.98799998</v>
      </c>
      <c r="KQ19" s="123"/>
      <c r="KR19" s="124"/>
      <c r="KS19" s="124"/>
      <c r="KT19" s="124"/>
      <c r="KU19" s="937">
        <f t="shared" ref="KU19" si="330">+KP19/KP65</f>
        <v>0.26644609907153932</v>
      </c>
      <c r="KW19" s="105">
        <v>18</v>
      </c>
      <c r="KX19" s="1233"/>
      <c r="KY19" s="290" t="str">
        <f t="shared" si="96"/>
        <v xml:space="preserve">Promotor de Derechos </v>
      </c>
      <c r="KZ19" s="125">
        <f>+VLOOKUP(KX13,'Cost x Depart'!$A$2:$AL$1275,KW19,0)</f>
        <v>23</v>
      </c>
      <c r="LA19" s="110">
        <f>+'Componentes T.H.'!$T$9</f>
        <v>1</v>
      </c>
      <c r="LB19" s="1237">
        <f>+'Componentes T.H.'!$Q$9</f>
        <v>1003701.4142</v>
      </c>
      <c r="LC19" s="1238"/>
      <c r="LD19" s="432">
        <f t="shared" ref="LD19" si="331">+KZ19*LA19*LB19*LA11</f>
        <v>115425662.633</v>
      </c>
      <c r="LE19" s="123"/>
      <c r="LF19" s="124"/>
      <c r="LG19" s="124"/>
      <c r="LH19" s="124"/>
      <c r="LI19" s="937">
        <f t="shared" ref="LI19" si="332">+LD19/LD65</f>
        <v>0.2690523066666089</v>
      </c>
      <c r="LK19" s="105">
        <v>18</v>
      </c>
      <c r="LL19" s="1233"/>
      <c r="LM19" s="290" t="str">
        <f t="shared" si="99"/>
        <v xml:space="preserve">Promotor de Derechos </v>
      </c>
      <c r="LN19" s="125">
        <f>+VLOOKUP(LL13,'Cost x Depart'!$A$2:$AL$1275,LK19,0)</f>
        <v>60.5</v>
      </c>
      <c r="LO19" s="110">
        <f>+'Componentes T.H.'!$T$9</f>
        <v>1</v>
      </c>
      <c r="LP19" s="1237">
        <f>+'Componentes T.H.'!$Q$9</f>
        <v>1003701.4142</v>
      </c>
      <c r="LQ19" s="1238"/>
      <c r="LR19" s="432">
        <f t="shared" ref="LR19" si="333">+LN19*LO19*LP19*LO11</f>
        <v>303619677.79550004</v>
      </c>
      <c r="LS19" s="123"/>
      <c r="LT19" s="124"/>
      <c r="LU19" s="124"/>
      <c r="LV19" s="124"/>
      <c r="LW19" s="937">
        <f t="shared" ref="LW19" si="334">+LR19/LR65</f>
        <v>0.27050092977972118</v>
      </c>
      <c r="LY19" s="105">
        <v>18</v>
      </c>
      <c r="LZ19" s="1233"/>
      <c r="MA19" s="290" t="str">
        <f t="shared" si="102"/>
        <v xml:space="preserve">Promotor de Derechos </v>
      </c>
      <c r="MB19" s="125">
        <f>+VLOOKUP(LZ13,'Cost x Depart'!$A$2:$AL$1275,LY19,0)</f>
        <v>60</v>
      </c>
      <c r="MC19" s="110">
        <f>+'Componentes T.H.'!$T$9</f>
        <v>1</v>
      </c>
      <c r="MD19" s="1237">
        <f>+'Componentes T.H.'!$Q$9</f>
        <v>1003701.4142</v>
      </c>
      <c r="ME19" s="1238"/>
      <c r="MF19" s="432">
        <f t="shared" ref="MF19" si="335">+MB19*MC19*MD19*MC11</f>
        <v>301110424.25999999</v>
      </c>
      <c r="MG19" s="123"/>
      <c r="MH19" s="124"/>
      <c r="MI19" s="124"/>
      <c r="MJ19" s="124"/>
      <c r="MK19" s="937">
        <f t="shared" ref="MK19" si="336">+MF19/MF65</f>
        <v>0.27044565903103485</v>
      </c>
      <c r="MM19" s="105">
        <v>18</v>
      </c>
      <c r="MN19" s="1233"/>
      <c r="MO19" s="290" t="str">
        <f t="shared" si="105"/>
        <v xml:space="preserve">Promotor de Derechos </v>
      </c>
      <c r="MP19" s="125">
        <f>+VLOOKUP(MN13,'Cost x Depart'!$A$2:$AL$1275,MM19,0)</f>
        <v>63</v>
      </c>
      <c r="MQ19" s="110">
        <f>+'Componentes T.H.'!$T$9</f>
        <v>1</v>
      </c>
      <c r="MR19" s="1237">
        <f>+'Componentes T.H.'!$Q$9</f>
        <v>1003701.4142</v>
      </c>
      <c r="MS19" s="1238"/>
      <c r="MT19" s="432">
        <f t="shared" ref="MT19" si="337">+MP19*MQ19*MR19*MQ11</f>
        <v>316165945.47299999</v>
      </c>
      <c r="MU19" s="123"/>
      <c r="MV19" s="124"/>
      <c r="MW19" s="124"/>
      <c r="MX19" s="124"/>
      <c r="MY19" s="937">
        <f t="shared" ref="MY19" si="338">+MT19/MT65</f>
        <v>0.27750962583426492</v>
      </c>
      <c r="NA19" s="105">
        <v>18</v>
      </c>
      <c r="NB19" s="1233"/>
      <c r="NC19" s="290" t="str">
        <f t="shared" si="108"/>
        <v xml:space="preserve">Promotor de Derechos </v>
      </c>
      <c r="ND19" s="125">
        <f>+VLOOKUP(NB13,'Cost x Depart'!$A$2:$AL$1275,NA19,0)</f>
        <v>117.5</v>
      </c>
      <c r="NE19" s="110">
        <f>+'Componentes T.H.'!$T$9</f>
        <v>1</v>
      </c>
      <c r="NF19" s="1237">
        <f>+'Componentes T.H.'!$Q$9</f>
        <v>1003701.4142</v>
      </c>
      <c r="NG19" s="1238"/>
      <c r="NH19" s="432">
        <f t="shared" ref="NH19" si="339">+ND19*NE19*NF19*NE11</f>
        <v>589674580.84249997</v>
      </c>
      <c r="NI19" s="123"/>
      <c r="NJ19" s="124"/>
      <c r="NK19" s="124"/>
      <c r="NL19" s="124"/>
      <c r="NM19" s="937">
        <f t="shared" ref="NM19" si="340">+NH19/NH65</f>
        <v>0.27044496510091487</v>
      </c>
      <c r="NO19" s="105">
        <v>18</v>
      </c>
      <c r="NP19" s="1233"/>
      <c r="NQ19" s="290" t="str">
        <f t="shared" si="111"/>
        <v xml:space="preserve">Promotor de Derechos </v>
      </c>
      <c r="NR19" s="125">
        <f>+VLOOKUP(NP13,'Cost x Depart'!$A$2:$AL$1275,NO19,0)</f>
        <v>19</v>
      </c>
      <c r="NS19" s="110">
        <f>+'Componentes T.H.'!$T$9</f>
        <v>1</v>
      </c>
      <c r="NT19" s="1237">
        <f>+'Componentes T.H.'!$Q$9</f>
        <v>1003701.4142</v>
      </c>
      <c r="NU19" s="1238"/>
      <c r="NV19" s="432">
        <f t="shared" ref="NV19" si="341">+NR19*NS19*NT19*NS11</f>
        <v>95351634.349000007</v>
      </c>
      <c r="NW19" s="123"/>
      <c r="NX19" s="124"/>
      <c r="NY19" s="124"/>
      <c r="NZ19" s="124"/>
      <c r="OA19" s="937">
        <f t="shared" ref="OA19" si="342">+NV19/NV65</f>
        <v>0.27471552267685234</v>
      </c>
      <c r="OC19" s="105">
        <v>18</v>
      </c>
      <c r="OD19" s="1233"/>
      <c r="OE19" s="290" t="str">
        <f t="shared" si="114"/>
        <v xml:space="preserve">Promotor de Derechos </v>
      </c>
      <c r="OF19" s="125">
        <f>+VLOOKUP(OD13,'Cost x Depart'!$A$2:$AL$1275,OC19,0)</f>
        <v>24</v>
      </c>
      <c r="OG19" s="110">
        <f>+'Componentes T.H.'!$T$9</f>
        <v>1</v>
      </c>
      <c r="OH19" s="1237">
        <f>+'Componentes T.H.'!$Q$9</f>
        <v>1003701.4142</v>
      </c>
      <c r="OI19" s="1238"/>
      <c r="OJ19" s="432">
        <f t="shared" ref="OJ19" si="343">+OF19*OG19*OH19*OG11</f>
        <v>120444169.704</v>
      </c>
      <c r="OK19" s="123"/>
      <c r="OL19" s="124"/>
      <c r="OM19" s="124"/>
      <c r="ON19" s="124"/>
      <c r="OO19" s="937">
        <f t="shared" ref="OO19" si="344">+OJ19/OJ65</f>
        <v>0.26625816132185193</v>
      </c>
      <c r="OQ19" s="105">
        <v>18</v>
      </c>
      <c r="OR19" s="1233"/>
      <c r="OS19" s="290" t="str">
        <f t="shared" si="117"/>
        <v xml:space="preserve">Promotor de Derechos </v>
      </c>
      <c r="OT19" s="125">
        <f>+VLOOKUP(OR13,'Cost x Depart'!$A$2:$AL$1275,OQ19,0)</f>
        <v>31</v>
      </c>
      <c r="OU19" s="110">
        <f>+'Componentes T.H.'!$T$9</f>
        <v>1</v>
      </c>
      <c r="OV19" s="1237">
        <f>+'Componentes T.H.'!$Q$9</f>
        <v>1003701.4142</v>
      </c>
      <c r="OW19" s="1238"/>
      <c r="OX19" s="432">
        <f t="shared" ref="OX19" si="345">+OT19*OU19*OV19*OU11</f>
        <v>155573719.20100001</v>
      </c>
      <c r="OY19" s="123"/>
      <c r="OZ19" s="124"/>
      <c r="PA19" s="124"/>
      <c r="PB19" s="124"/>
      <c r="PC19" s="937">
        <f t="shared" ref="PC19" si="346">+OX19/OX65</f>
        <v>0.27221839171549983</v>
      </c>
      <c r="PE19" s="105">
        <v>18</v>
      </c>
      <c r="PF19" s="1233"/>
      <c r="PG19" s="290" t="str">
        <f t="shared" si="120"/>
        <v xml:space="preserve">Promotor de Derechos </v>
      </c>
      <c r="PH19" s="125">
        <f>+VLOOKUP(PF13,'Cost x Depart'!$A$2:$AL$1275,PE19,0)</f>
        <v>7.5</v>
      </c>
      <c r="PI19" s="110">
        <f>+'Componentes T.H.'!$T$9</f>
        <v>1</v>
      </c>
      <c r="PJ19" s="1237">
        <f>+'Componentes T.H.'!$Q$9</f>
        <v>1003701.4142</v>
      </c>
      <c r="PK19" s="1238"/>
      <c r="PL19" s="432">
        <f t="shared" ref="PL19" si="347">+PH19*PI19*PJ19*PI11</f>
        <v>37638803.032499999</v>
      </c>
      <c r="PM19" s="123"/>
      <c r="PN19" s="124"/>
      <c r="PO19" s="124"/>
      <c r="PP19" s="124"/>
      <c r="PQ19" s="937">
        <f t="shared" ref="PQ19" si="348">+PL19/PL65</f>
        <v>0.25898669634680233</v>
      </c>
      <c r="PS19" s="105">
        <v>18</v>
      </c>
      <c r="PT19" s="1233"/>
      <c r="PU19" s="290" t="str">
        <f t="shared" si="123"/>
        <v xml:space="preserve">Promotor de Derechos </v>
      </c>
      <c r="PV19" s="125">
        <f>+VLOOKUP(PT13,'Cost x Depart'!$A$2:$AL$1275,PS19,0)</f>
        <v>12</v>
      </c>
      <c r="PW19" s="110">
        <f>+'Componentes T.H.'!$T$9</f>
        <v>1</v>
      </c>
      <c r="PX19" s="1237">
        <f>+'Componentes T.H.'!$Q$9</f>
        <v>1003701.4142</v>
      </c>
      <c r="PY19" s="1238"/>
      <c r="PZ19" s="432">
        <f t="shared" ref="PZ19" si="349">+PV19*PW19*PX19*PW11</f>
        <v>60222084.851999998</v>
      </c>
      <c r="QA19" s="123"/>
      <c r="QB19" s="124"/>
      <c r="QC19" s="124"/>
      <c r="QD19" s="124"/>
      <c r="QE19" s="937">
        <f t="shared" ref="QE19" si="350">+PZ19/PZ65</f>
        <v>0.26851165927645404</v>
      </c>
      <c r="QG19" s="105">
        <v>18</v>
      </c>
      <c r="QH19" s="1233"/>
      <c r="QI19" s="290" t="str">
        <f t="shared" si="126"/>
        <v xml:space="preserve">Promotor de Derechos </v>
      </c>
      <c r="QJ19" s="125">
        <f>+VLOOKUP(QH13,'Cost x Depart'!$A$2:$AL$1275,QG19,0)</f>
        <v>4</v>
      </c>
      <c r="QK19" s="110">
        <f>+'Componentes T.H.'!$T$9</f>
        <v>1</v>
      </c>
      <c r="QL19" s="1237">
        <f>+'Componentes T.H.'!$Q$9</f>
        <v>1003701.4142</v>
      </c>
      <c r="QM19" s="1238"/>
      <c r="QN19" s="432">
        <f t="shared" ref="QN19" si="351">+QJ19*QK19*QL19*QK11</f>
        <v>20074028.284000002</v>
      </c>
      <c r="QO19" s="123"/>
      <c r="QP19" s="124"/>
      <c r="QQ19" s="124"/>
      <c r="QR19" s="124"/>
      <c r="QS19" s="937">
        <f t="shared" ref="QS19" si="352">+QN19/QN65</f>
        <v>0.2391888536825873</v>
      </c>
      <c r="QU19" s="105">
        <v>18</v>
      </c>
      <c r="QV19" s="1233"/>
      <c r="QW19" s="290" t="str">
        <f t="shared" si="129"/>
        <v xml:space="preserve">Promotor de Derechos </v>
      </c>
      <c r="QX19" s="125">
        <f>+VLOOKUP(QV13,'Cost x Depart'!$A$2:$AL$1275,QU19,0)</f>
        <v>10</v>
      </c>
      <c r="QY19" s="110">
        <f>+'Componentes T.H.'!$T$9</f>
        <v>1</v>
      </c>
      <c r="QZ19" s="1237">
        <f>+'Componentes T.H.'!$Q$9</f>
        <v>1003701.4142</v>
      </c>
      <c r="RA19" s="1238"/>
      <c r="RB19" s="432">
        <f t="shared" ref="RB19" si="353">+QX19*QY19*QZ19*QY11</f>
        <v>50185070.710000008</v>
      </c>
      <c r="RC19" s="123"/>
      <c r="RD19" s="124"/>
      <c r="RE19" s="124"/>
      <c r="RF19" s="124"/>
      <c r="RG19" s="937">
        <f t="shared" ref="RG19" si="354">+RB19/RB65</f>
        <v>0.26525976835445747</v>
      </c>
      <c r="RI19" s="105">
        <v>18</v>
      </c>
      <c r="RJ19" s="1233"/>
      <c r="RK19" s="290" t="str">
        <f t="shared" si="132"/>
        <v xml:space="preserve">Promotor de Derechos </v>
      </c>
      <c r="RL19" s="125">
        <f>+VLOOKUP(RJ13,'Cost x Depart'!$A$2:$AL$1275,RI19,0)</f>
        <v>4</v>
      </c>
      <c r="RM19" s="110">
        <f>+'Componentes T.H.'!$T$9</f>
        <v>1</v>
      </c>
      <c r="RN19" s="1237">
        <f>+'Componentes T.H.'!$Q$9</f>
        <v>1003701.4142</v>
      </c>
      <c r="RO19" s="1238"/>
      <c r="RP19" s="432">
        <f t="shared" ref="RP19" si="355">+RL19*RM19*RN19*RM11</f>
        <v>20074028.284000002</v>
      </c>
      <c r="RQ19" s="123"/>
      <c r="RR19" s="124"/>
      <c r="RS19" s="124"/>
      <c r="RT19" s="124"/>
      <c r="RU19" s="937">
        <f t="shared" ref="RU19" si="356">+RP19/RP65</f>
        <v>0.23854797994264226</v>
      </c>
      <c r="RW19" s="105">
        <v>18</v>
      </c>
      <c r="RX19" s="1233"/>
      <c r="RY19" s="290" t="str">
        <f t="shared" si="135"/>
        <v xml:space="preserve">Promotor de Derechos </v>
      </c>
      <c r="RZ19" s="125">
        <f>+VLOOKUP(RX13,'Cost x Depart'!$A$2:$AL$1275,RW19,0)</f>
        <v>6.5</v>
      </c>
      <c r="SA19" s="110">
        <f>+'Componentes T.H.'!$T$9</f>
        <v>1</v>
      </c>
      <c r="SB19" s="1237">
        <f>+'Componentes T.H.'!$Q$9</f>
        <v>1003701.4142</v>
      </c>
      <c r="SC19" s="1238"/>
      <c r="SD19" s="432">
        <f t="shared" ref="SD19" si="357">+RZ19*SA19*SB19*SA11</f>
        <v>32620295.9615</v>
      </c>
      <c r="SE19" s="123"/>
      <c r="SF19" s="124"/>
      <c r="SG19" s="124"/>
      <c r="SH19" s="124"/>
      <c r="SI19" s="937">
        <f t="shared" ref="SI19" si="358">+SD19/SD65</f>
        <v>0.2552717016778735</v>
      </c>
      <c r="SK19" s="105">
        <v>18</v>
      </c>
      <c r="SL19" s="1233"/>
      <c r="SM19" s="290" t="str">
        <f t="shared" si="138"/>
        <v xml:space="preserve">Promotor de Derechos </v>
      </c>
      <c r="SN19" s="125">
        <f>+VLOOKUP(SL13,'Cost x Depart'!$A$2:$AL$1275,SK19,0)</f>
        <v>0</v>
      </c>
      <c r="SO19" s="110">
        <f>+'Componentes T.H.'!$T$9</f>
        <v>1</v>
      </c>
      <c r="SP19" s="1237">
        <f>+'Componentes T.H.'!$Q$9</f>
        <v>1003701.4142</v>
      </c>
      <c r="SQ19" s="1238"/>
      <c r="SR19" s="432">
        <f t="shared" ref="SR19" si="359">+SN19*SO19*SP19*SO11</f>
        <v>0</v>
      </c>
      <c r="SS19" s="123"/>
      <c r="ST19" s="124"/>
      <c r="SU19" s="124"/>
      <c r="SV19" s="124"/>
      <c r="SW19" s="937">
        <f>IF(ISERROR((+SR19/SR65)),0,(+SR19/SR65))</f>
        <v>0</v>
      </c>
      <c r="SY19" s="105">
        <v>14</v>
      </c>
      <c r="SZ19" s="1233"/>
      <c r="TA19" s="290" t="str">
        <f t="shared" si="140"/>
        <v xml:space="preserve">Promotor de Derechos </v>
      </c>
      <c r="TB19" s="125">
        <f t="shared" si="141"/>
        <v>1754</v>
      </c>
      <c r="TC19" s="110">
        <f>+'Componentes T.H.'!$T$9</f>
        <v>1</v>
      </c>
      <c r="TD19" s="1237">
        <f>+'Componentes T.H.'!$Q$9</f>
        <v>1003701.4142</v>
      </c>
      <c r="TE19" s="1238"/>
      <c r="TF19" s="432">
        <f t="shared" ref="TF19" si="360">+TB19*TC19*TD19*TC11</f>
        <v>8802461402.5340004</v>
      </c>
      <c r="TG19" s="123"/>
      <c r="TH19" s="124"/>
      <c r="TI19" s="124"/>
      <c r="TJ19" s="124"/>
      <c r="TK19" s="937">
        <f t="shared" ref="TK19" si="361">+TF19/TF65</f>
        <v>0.27108457751763065</v>
      </c>
    </row>
    <row r="20" spans="1:531" ht="15.75" customHeight="1" thickBot="1">
      <c r="A20" s="105">
        <v>16</v>
      </c>
      <c r="B20" s="1234"/>
      <c r="C20" s="506" t="str">
        <f>+'Componentes T.H.'!B10</f>
        <v xml:space="preserve">Gestor Administrativo </v>
      </c>
      <c r="D20" s="507">
        <f>+VLOOKUP(B13,'Cost x Depart'!$A$2:$AL$1275,A20,0)</f>
        <v>1</v>
      </c>
      <c r="E20" s="508">
        <f>+'Componentes T.H.'!$T$10</f>
        <v>1</v>
      </c>
      <c r="F20" s="1241">
        <f>+'Componentes T.H.'!$Q$10</f>
        <v>978086.40000000002</v>
      </c>
      <c r="G20" s="1242"/>
      <c r="H20" s="433">
        <f>+D20*E20*F20*E11</f>
        <v>4890432</v>
      </c>
      <c r="I20" s="123"/>
      <c r="J20" s="124"/>
      <c r="K20" s="124"/>
      <c r="L20" s="124"/>
      <c r="M20" s="938">
        <f>+H20/H65</f>
        <v>1.6752826575031612E-3</v>
      </c>
      <c r="O20" s="105">
        <v>16</v>
      </c>
      <c r="P20" s="1234"/>
      <c r="Q20" s="506" t="str">
        <f t="shared" si="31"/>
        <v xml:space="preserve">Gestor Administrativo </v>
      </c>
      <c r="R20" s="507">
        <f>+VLOOKUP(P13,'Cost x Depart'!$A$2:$AL$1275,O20,0)</f>
        <v>0.6</v>
      </c>
      <c r="S20" s="508">
        <f>+'Componentes T.H.'!$T$10</f>
        <v>1</v>
      </c>
      <c r="T20" s="1243">
        <f>+'Componentes T.H.'!$Q$10</f>
        <v>978086.40000000002</v>
      </c>
      <c r="U20" s="1241"/>
      <c r="V20" s="433">
        <f t="shared" ref="V20" si="362">+R20*S20*T20*S11</f>
        <v>2934259.1999999997</v>
      </c>
      <c r="W20" s="123"/>
      <c r="X20" s="124"/>
      <c r="Y20" s="124"/>
      <c r="Z20" s="124"/>
      <c r="AA20" s="938">
        <f t="shared" ref="AA20" si="363">+V20/V65</f>
        <v>4.2750438372499986E-3</v>
      </c>
      <c r="AC20" s="105">
        <v>12</v>
      </c>
      <c r="AD20" s="1234"/>
      <c r="AE20" s="506" t="str">
        <f t="shared" si="34"/>
        <v xml:space="preserve">Gestor Administrativo </v>
      </c>
      <c r="AF20" s="507">
        <f t="shared" si="35"/>
        <v>1.6</v>
      </c>
      <c r="AG20" s="508">
        <f>+'Componentes T.H.'!$T$10</f>
        <v>1</v>
      </c>
      <c r="AH20" s="1243">
        <f>+'Componentes T.H.'!$Q$10</f>
        <v>978086.40000000002</v>
      </c>
      <c r="AI20" s="1241"/>
      <c r="AJ20" s="433">
        <f t="shared" ref="AJ20" si="364">+AF20*AG20*AH20*AG11</f>
        <v>7824691.2000000011</v>
      </c>
      <c r="AK20" s="123"/>
      <c r="AL20" s="124"/>
      <c r="AM20" s="124"/>
      <c r="AN20" s="124"/>
      <c r="AO20" s="938">
        <f t="shared" ref="AO20" si="365">+AJ20/AJ65</f>
        <v>2.1701870632860319E-3</v>
      </c>
      <c r="AQ20" s="105">
        <v>16</v>
      </c>
      <c r="AR20" s="1234"/>
      <c r="AS20" s="506" t="str">
        <f t="shared" si="38"/>
        <v xml:space="preserve">Gestor Administrativo </v>
      </c>
      <c r="AT20" s="507">
        <f>+VLOOKUP(AR13,'Cost x Depart'!$A$2:$AL$1275,AQ20,0)</f>
        <v>0.8</v>
      </c>
      <c r="AU20" s="508">
        <f>+'Componentes T.H.'!$T$10</f>
        <v>1</v>
      </c>
      <c r="AV20" s="1243">
        <f>+'Componentes T.H.'!$Q$10</f>
        <v>978086.40000000002</v>
      </c>
      <c r="AW20" s="1241"/>
      <c r="AX20" s="433">
        <f t="shared" ref="AX20" si="366">+AT20*AU20*AV20*AU11</f>
        <v>3912345.6000000006</v>
      </c>
      <c r="AY20" s="123"/>
      <c r="AZ20" s="124"/>
      <c r="BA20" s="124"/>
      <c r="BB20" s="124"/>
      <c r="BC20" s="938">
        <f t="shared" ref="BC20" si="367">+AX20/AX65</f>
        <v>3.7582735141308814E-3</v>
      </c>
      <c r="BE20" s="105">
        <v>16</v>
      </c>
      <c r="BF20" s="1234"/>
      <c r="BG20" s="506" t="str">
        <f t="shared" si="41"/>
        <v xml:space="preserve">Gestor Administrativo </v>
      </c>
      <c r="BH20" s="507">
        <f>+VLOOKUP(BF13,'Cost x Depart'!$A$2:$AL$1275,BE20,0)</f>
        <v>0.8</v>
      </c>
      <c r="BI20" s="508">
        <f>+'Componentes T.H.'!$T$10</f>
        <v>1</v>
      </c>
      <c r="BJ20" s="1243">
        <f>+'Componentes T.H.'!$Q$10</f>
        <v>978086.40000000002</v>
      </c>
      <c r="BK20" s="1241"/>
      <c r="BL20" s="433">
        <f t="shared" ref="BL20" si="368">+BH20*BI20*BJ20*BI11</f>
        <v>3912345.6000000006</v>
      </c>
      <c r="BM20" s="123"/>
      <c r="BN20" s="124"/>
      <c r="BO20" s="124"/>
      <c r="BP20" s="124"/>
      <c r="BQ20" s="938">
        <f t="shared" ref="BQ20" si="369">+BL20/BL65</f>
        <v>2.6196928764851642E-3</v>
      </c>
      <c r="BS20" s="105">
        <v>16</v>
      </c>
      <c r="BT20" s="1234"/>
      <c r="BU20" s="506" t="str">
        <f t="shared" si="44"/>
        <v xml:space="preserve">Gestor Administrativo </v>
      </c>
      <c r="BV20" s="507">
        <f>+VLOOKUP(BT13,'Cost x Depart'!$A$2:$AL$1275,BS20,0)</f>
        <v>0.8</v>
      </c>
      <c r="BW20" s="508">
        <f>+'Componentes T.H.'!$T$10</f>
        <v>1</v>
      </c>
      <c r="BX20" s="1243">
        <f>+'Componentes T.H.'!$Q$10</f>
        <v>978086.40000000002</v>
      </c>
      <c r="BY20" s="1241"/>
      <c r="BZ20" s="433">
        <f t="shared" ref="BZ20" si="370">+BV20*BW20*BX20*BW11</f>
        <v>3912345.6000000006</v>
      </c>
      <c r="CA20" s="123"/>
      <c r="CB20" s="124"/>
      <c r="CC20" s="124"/>
      <c r="CD20" s="124"/>
      <c r="CE20" s="938">
        <f t="shared" ref="CE20" si="371">+BZ20/BZ65</f>
        <v>3.062112965068484E-3</v>
      </c>
      <c r="CG20" s="105">
        <v>16</v>
      </c>
      <c r="CH20" s="1234"/>
      <c r="CI20" s="506" t="str">
        <f t="shared" si="47"/>
        <v xml:space="preserve">Gestor Administrativo </v>
      </c>
      <c r="CJ20" s="507">
        <f>+VLOOKUP(CH13,'Cost x Depart'!$A$2:$AL$1275,CG20,0)</f>
        <v>0.8</v>
      </c>
      <c r="CK20" s="508">
        <f>+'Componentes T.H.'!$T$10</f>
        <v>1</v>
      </c>
      <c r="CL20" s="1243">
        <f>+'Componentes T.H.'!$Q$10</f>
        <v>978086.40000000002</v>
      </c>
      <c r="CM20" s="1241"/>
      <c r="CN20" s="433">
        <f t="shared" ref="CN20" si="372">+CJ20*CK20*CL20*CK11</f>
        <v>3912345.6000000006</v>
      </c>
      <c r="CO20" s="123"/>
      <c r="CP20" s="124"/>
      <c r="CQ20" s="124"/>
      <c r="CR20" s="124"/>
      <c r="CS20" s="938">
        <f t="shared" ref="CS20" si="373">+CN20/CN65</f>
        <v>3.0633924668344806E-3</v>
      </c>
      <c r="CU20" s="105">
        <v>16</v>
      </c>
      <c r="CV20" s="1234"/>
      <c r="CW20" s="506" t="str">
        <f t="shared" si="50"/>
        <v xml:space="preserve">Gestor Administrativo </v>
      </c>
      <c r="CX20" s="507">
        <f>+VLOOKUP(CV13,'Cost x Depart'!$A$2:$AL$1275,CU20,0)</f>
        <v>0.6</v>
      </c>
      <c r="CY20" s="508">
        <f>+'Componentes T.H.'!$T$10</f>
        <v>1</v>
      </c>
      <c r="CZ20" s="1243">
        <f>+'Componentes T.H.'!$Q$10</f>
        <v>978086.40000000002</v>
      </c>
      <c r="DA20" s="1241"/>
      <c r="DB20" s="433">
        <f t="shared" ref="DB20" si="374">+CX20*CY20*CZ20*CY11</f>
        <v>2934259.1999999997</v>
      </c>
      <c r="DC20" s="123"/>
      <c r="DD20" s="124"/>
      <c r="DE20" s="124"/>
      <c r="DF20" s="124"/>
      <c r="DG20" s="938">
        <f t="shared" ref="DG20" si="375">+DB20/DB65</f>
        <v>4.1887783764882995E-3</v>
      </c>
      <c r="DI20" s="105">
        <v>16</v>
      </c>
      <c r="DJ20" s="1234"/>
      <c r="DK20" s="506" t="str">
        <f t="shared" si="53"/>
        <v xml:space="preserve">Gestor Administrativo </v>
      </c>
      <c r="DL20" s="507">
        <f>+VLOOKUP(DJ13,'Cost x Depart'!$A$2:$AL$1275,DI20,0)</f>
        <v>0.8</v>
      </c>
      <c r="DM20" s="508">
        <f>+'Componentes T.H.'!$T$10</f>
        <v>1</v>
      </c>
      <c r="DN20" s="1243">
        <f>+'Componentes T.H.'!$Q$10</f>
        <v>978086.40000000002</v>
      </c>
      <c r="DO20" s="1241"/>
      <c r="DP20" s="433">
        <f t="shared" ref="DP20" si="376">+DL20*DM20*DN20*DM11</f>
        <v>3912345.6000000006</v>
      </c>
      <c r="DQ20" s="123"/>
      <c r="DR20" s="124"/>
      <c r="DS20" s="124"/>
      <c r="DT20" s="124"/>
      <c r="DU20" s="938">
        <f t="shared" ref="DU20" si="377">+DP20/DP65</f>
        <v>2.7472044825562958E-3</v>
      </c>
      <c r="DW20" s="105">
        <v>16</v>
      </c>
      <c r="DX20" s="1234"/>
      <c r="DY20" s="506" t="str">
        <f t="shared" si="56"/>
        <v xml:space="preserve">Gestor Administrativo </v>
      </c>
      <c r="DZ20" s="507">
        <f>+VLOOKUP(DX13,'Cost x Depart'!$A$2:$AL$1275,DW20,0)</f>
        <v>0.8</v>
      </c>
      <c r="EA20" s="508">
        <f>+'Componentes T.H.'!$T$10</f>
        <v>1</v>
      </c>
      <c r="EB20" s="1243">
        <f>+'Componentes T.H.'!$Q$10</f>
        <v>978086.40000000002</v>
      </c>
      <c r="EC20" s="1241"/>
      <c r="ED20" s="433">
        <f t="shared" ref="ED20" si="378">+DZ20*EA20*EB20*EA11</f>
        <v>3912345.6000000006</v>
      </c>
      <c r="EE20" s="123"/>
      <c r="EF20" s="124"/>
      <c r="EG20" s="124"/>
      <c r="EH20" s="124"/>
      <c r="EI20" s="938">
        <f t="shared" ref="EI20" si="379">+ED20/ED65</f>
        <v>3.8247668891767056E-3</v>
      </c>
      <c r="EK20" s="105">
        <v>16</v>
      </c>
      <c r="EL20" s="1234"/>
      <c r="EM20" s="506" t="str">
        <f t="shared" si="59"/>
        <v xml:space="preserve">Gestor Administrativo </v>
      </c>
      <c r="EN20" s="507">
        <f>+VLOOKUP(EL13,'Cost x Depart'!$A$2:$AL$1275,EK20,0)</f>
        <v>0.8</v>
      </c>
      <c r="EO20" s="508">
        <f>+'Componentes T.H.'!$T$10</f>
        <v>1</v>
      </c>
      <c r="EP20" s="1243">
        <f>+'Componentes T.H.'!$Q$10</f>
        <v>978086.40000000002</v>
      </c>
      <c r="EQ20" s="1241"/>
      <c r="ER20" s="433">
        <f t="shared" ref="ER20" si="380">+EN20*EO20*EP20*EO11</f>
        <v>3912345.6000000006</v>
      </c>
      <c r="ES20" s="123"/>
      <c r="ET20" s="124"/>
      <c r="EU20" s="124"/>
      <c r="EV20" s="124"/>
      <c r="EW20" s="938">
        <f t="shared" ref="EW20" si="381">+ER20/ER65</f>
        <v>2.684761421599575E-3</v>
      </c>
      <c r="EY20" s="105">
        <v>16</v>
      </c>
      <c r="EZ20" s="1234"/>
      <c r="FA20" s="506" t="str">
        <f t="shared" si="62"/>
        <v xml:space="preserve">Gestor Administrativo </v>
      </c>
      <c r="FB20" s="507">
        <f>+VLOOKUP(EZ13,'Cost x Depart'!$A$2:$AL$1275,EY20,0)</f>
        <v>0.8</v>
      </c>
      <c r="FC20" s="508">
        <f>+'Componentes T.H.'!$T$10</f>
        <v>1</v>
      </c>
      <c r="FD20" s="1243">
        <f>+'Componentes T.H.'!$Q$10</f>
        <v>978086.40000000002</v>
      </c>
      <c r="FE20" s="1241"/>
      <c r="FF20" s="433">
        <f t="shared" ref="FF20" si="382">+FB20*FC20*FD20*FC11</f>
        <v>3912345.6000000006</v>
      </c>
      <c r="FG20" s="123"/>
      <c r="FH20" s="124"/>
      <c r="FI20" s="124"/>
      <c r="FJ20" s="124"/>
      <c r="FK20" s="938">
        <f t="shared" ref="FK20" si="383">+FF20/FF65</f>
        <v>2.4958061995870567E-3</v>
      </c>
      <c r="FM20" s="105">
        <v>16</v>
      </c>
      <c r="FN20" s="1234"/>
      <c r="FO20" s="506" t="str">
        <f t="shared" si="65"/>
        <v xml:space="preserve">Gestor Administrativo </v>
      </c>
      <c r="FP20" s="507">
        <f>+VLOOKUP(FN13,'Cost x Depart'!$A$2:$AL$1275,FM20,0)</f>
        <v>0.8</v>
      </c>
      <c r="FQ20" s="508">
        <f>+'Componentes T.H.'!$T$10</f>
        <v>1</v>
      </c>
      <c r="FR20" s="1243">
        <f>+'Componentes T.H.'!$Q$10</f>
        <v>978086.40000000002</v>
      </c>
      <c r="FS20" s="1241"/>
      <c r="FT20" s="433">
        <f t="shared" ref="FT20" si="384">+FP20*FQ20*FR20*FQ11</f>
        <v>3912345.6000000006</v>
      </c>
      <c r="FU20" s="123"/>
      <c r="FV20" s="124"/>
      <c r="FW20" s="124"/>
      <c r="FX20" s="124"/>
      <c r="FY20" s="938">
        <f t="shared" ref="FY20" si="385">+FT20/FT65</f>
        <v>3.4302797166614785E-3</v>
      </c>
      <c r="GA20" s="105">
        <v>16</v>
      </c>
      <c r="GB20" s="1234"/>
      <c r="GC20" s="506" t="str">
        <f t="shared" si="68"/>
        <v xml:space="preserve">Gestor Administrativo </v>
      </c>
      <c r="GD20" s="507">
        <f>+VLOOKUP(GB13,'Cost x Depart'!$A$2:$AL$1275,GA20,0)</f>
        <v>0.6</v>
      </c>
      <c r="GE20" s="508">
        <f>+'Componentes T.H.'!$T$10</f>
        <v>1</v>
      </c>
      <c r="GF20" s="1243">
        <f>+'Componentes T.H.'!$Q$10</f>
        <v>978086.40000000002</v>
      </c>
      <c r="GG20" s="1241"/>
      <c r="GH20" s="433">
        <f t="shared" ref="GH20" si="386">+GD20*GE20*GF20*GE11</f>
        <v>2934259.1999999997</v>
      </c>
      <c r="GI20" s="123"/>
      <c r="GJ20" s="124"/>
      <c r="GK20" s="124"/>
      <c r="GL20" s="124"/>
      <c r="GM20" s="938">
        <f t="shared" ref="GM20" si="387">+GH20/GH65</f>
        <v>3.327673675510092E-3</v>
      </c>
      <c r="GO20" s="105">
        <v>16</v>
      </c>
      <c r="GP20" s="1234"/>
      <c r="GQ20" s="506" t="str">
        <f t="shared" si="71"/>
        <v xml:space="preserve">Gestor Administrativo </v>
      </c>
      <c r="GR20" s="507">
        <f>+VLOOKUP(GP13,'Cost x Depart'!$A$2:$AL$1275,GO20,0)</f>
        <v>0.6</v>
      </c>
      <c r="GS20" s="508">
        <f>+'Componentes T.H.'!$T$10</f>
        <v>1</v>
      </c>
      <c r="GT20" s="1243">
        <f>+'Componentes T.H.'!$Q$10</f>
        <v>978086.40000000002</v>
      </c>
      <c r="GU20" s="1241"/>
      <c r="GV20" s="433">
        <f t="shared" ref="GV20" si="388">+GR20*GS20*GT20*GS11</f>
        <v>2934259.1999999997</v>
      </c>
      <c r="GW20" s="123"/>
      <c r="GX20" s="124"/>
      <c r="GY20" s="124"/>
      <c r="GZ20" s="124"/>
      <c r="HA20" s="938">
        <f t="shared" ref="HA20" si="389">+GV20/GV65</f>
        <v>5.3200486783861042E-3</v>
      </c>
      <c r="HC20" s="105">
        <v>16</v>
      </c>
      <c r="HD20" s="1234"/>
      <c r="HE20" s="506" t="str">
        <f t="shared" si="74"/>
        <v xml:space="preserve">Gestor Administrativo </v>
      </c>
      <c r="HF20" s="507">
        <f>+VLOOKUP(HD13,'Cost x Depart'!$A$2:$AL$1275,HC20,0)</f>
        <v>1</v>
      </c>
      <c r="HG20" s="508">
        <f>+'Componentes T.H.'!$T$10</f>
        <v>1</v>
      </c>
      <c r="HH20" s="1243">
        <f>+'Componentes T.H.'!$Q$10</f>
        <v>978086.40000000002</v>
      </c>
      <c r="HI20" s="1241"/>
      <c r="HJ20" s="433">
        <f t="shared" ref="HJ20" si="390">+HF20*HG20*HH20*HG11</f>
        <v>4890432</v>
      </c>
      <c r="HK20" s="123"/>
      <c r="HL20" s="124"/>
      <c r="HM20" s="124"/>
      <c r="HN20" s="124"/>
      <c r="HO20" s="938">
        <f t="shared" ref="HO20" si="391">+HJ20/HJ65</f>
        <v>2.7601750841940902E-3</v>
      </c>
      <c r="HQ20" s="105">
        <v>16</v>
      </c>
      <c r="HR20" s="1234"/>
      <c r="HS20" s="506" t="str">
        <f t="shared" si="77"/>
        <v xml:space="preserve">Gestor Administrativo </v>
      </c>
      <c r="HT20" s="507">
        <f>+VLOOKUP(HR13,'Cost x Depart'!$A$2:$AL$1275,HQ20,0)</f>
        <v>0.6</v>
      </c>
      <c r="HU20" s="508">
        <f>+'Componentes T.H.'!$T$10</f>
        <v>1</v>
      </c>
      <c r="HV20" s="1243">
        <f>+'Componentes T.H.'!$Q$10</f>
        <v>978086.40000000002</v>
      </c>
      <c r="HW20" s="1241"/>
      <c r="HX20" s="433">
        <f t="shared" ref="HX20" si="392">+HT20*HU20*HV20*HU11</f>
        <v>2934259.1999999997</v>
      </c>
      <c r="HY20" s="123"/>
      <c r="HZ20" s="124"/>
      <c r="IA20" s="124"/>
      <c r="IB20" s="124"/>
      <c r="IC20" s="938">
        <f t="shared" ref="IC20" si="393">+HX20/HX65</f>
        <v>4.7149062996306688E-3</v>
      </c>
      <c r="IE20" s="105">
        <v>16</v>
      </c>
      <c r="IF20" s="1234"/>
      <c r="IG20" s="506" t="str">
        <f t="shared" si="80"/>
        <v xml:space="preserve">Gestor Administrativo </v>
      </c>
      <c r="IH20" s="507">
        <f>+VLOOKUP(IF13,'Cost x Depart'!$A$2:$AL$1275,IE20,0)</f>
        <v>0.6</v>
      </c>
      <c r="II20" s="508">
        <f>+'Componentes T.H.'!$T$10</f>
        <v>1</v>
      </c>
      <c r="IJ20" s="1243">
        <f>+'Componentes T.H.'!$Q$10</f>
        <v>978086.40000000002</v>
      </c>
      <c r="IK20" s="1241"/>
      <c r="IL20" s="433">
        <f t="shared" ref="IL20" si="394">+IH20*II20*IJ20*II11</f>
        <v>2934259.1999999997</v>
      </c>
      <c r="IM20" s="123"/>
      <c r="IN20" s="124"/>
      <c r="IO20" s="124"/>
      <c r="IP20" s="124"/>
      <c r="IQ20" s="938">
        <f t="shared" ref="IQ20" si="395">+IL20/IL65</f>
        <v>7.0096194825749998E-3</v>
      </c>
      <c r="IS20" s="105">
        <v>16</v>
      </c>
      <c r="IT20" s="1234"/>
      <c r="IU20" s="506" t="str">
        <f t="shared" si="83"/>
        <v xml:space="preserve">Gestor Administrativo </v>
      </c>
      <c r="IV20" s="507">
        <f>+VLOOKUP(IT13,'Cost x Depart'!$A$2:$AL$1275,IS20,0)</f>
        <v>1</v>
      </c>
      <c r="IW20" s="508">
        <f>+'Componentes T.H.'!$T$10</f>
        <v>1</v>
      </c>
      <c r="IX20" s="1243">
        <f>+'Componentes T.H.'!$Q$10</f>
        <v>978086.40000000002</v>
      </c>
      <c r="IY20" s="1241"/>
      <c r="IZ20" s="433">
        <f t="shared" ref="IZ20" si="396">+IV20*IW20*IX20*IW11</f>
        <v>4890432</v>
      </c>
      <c r="JA20" s="123"/>
      <c r="JB20" s="124"/>
      <c r="JC20" s="124"/>
      <c r="JD20" s="124"/>
      <c r="JE20" s="938">
        <f t="shared" ref="JE20" si="397">+IZ20/IZ65</f>
        <v>1.8787259228955596E-3</v>
      </c>
      <c r="JG20" s="105">
        <v>12</v>
      </c>
      <c r="JH20" s="1234"/>
      <c r="JI20" s="506" t="str">
        <f t="shared" si="86"/>
        <v xml:space="preserve">Gestor Administrativo </v>
      </c>
      <c r="JJ20" s="507">
        <f t="shared" si="87"/>
        <v>1.6</v>
      </c>
      <c r="JK20" s="508">
        <f>+'Componentes T.H.'!$T$10</f>
        <v>1</v>
      </c>
      <c r="JL20" s="1243">
        <f>+'Componentes T.H.'!$Q$10</f>
        <v>978086.40000000002</v>
      </c>
      <c r="JM20" s="1241"/>
      <c r="JN20" s="433">
        <f t="shared" ref="JN20" si="398">+JJ20*JK20*JL20*JK11</f>
        <v>7824691.2000000011</v>
      </c>
      <c r="JO20" s="123"/>
      <c r="JP20" s="124"/>
      <c r="JQ20" s="124"/>
      <c r="JR20" s="124"/>
      <c r="JS20" s="938">
        <f t="shared" ref="JS20" si="399">+JN20/JN65</f>
        <v>2.5895319550912378E-3</v>
      </c>
      <c r="JU20" s="105">
        <v>16</v>
      </c>
      <c r="JV20" s="1234"/>
      <c r="JW20" s="506" t="str">
        <f t="shared" si="90"/>
        <v xml:space="preserve">Gestor Administrativo </v>
      </c>
      <c r="JX20" s="507">
        <f>+VLOOKUP(JV13,'Cost x Depart'!$A$2:$AL$1275,JU20,0)</f>
        <v>0.6</v>
      </c>
      <c r="JY20" s="508">
        <f>+'Componentes T.H.'!$T$10</f>
        <v>1</v>
      </c>
      <c r="JZ20" s="1243">
        <f>+'Componentes T.H.'!$Q$10</f>
        <v>978086.40000000002</v>
      </c>
      <c r="KA20" s="1241"/>
      <c r="KB20" s="433">
        <f t="shared" ref="KB20" si="400">+JX20*JY20*JZ20*JY11</f>
        <v>2934259.1999999997</v>
      </c>
      <c r="KC20" s="123"/>
      <c r="KD20" s="124"/>
      <c r="KE20" s="124"/>
      <c r="KF20" s="124"/>
      <c r="KG20" s="938">
        <f t="shared" ref="KG20" si="401">+KB20/KB65</f>
        <v>3.3456724978255933E-3</v>
      </c>
      <c r="KI20" s="105">
        <v>16</v>
      </c>
      <c r="KJ20" s="1234"/>
      <c r="KK20" s="506" t="str">
        <f t="shared" si="93"/>
        <v xml:space="preserve">Gestor Administrativo </v>
      </c>
      <c r="KL20" s="507">
        <f>+VLOOKUP(KJ13,'Cost x Depart'!$A$2:$AL$1275,KI20,0)</f>
        <v>0.6</v>
      </c>
      <c r="KM20" s="508">
        <f>+'Componentes T.H.'!$T$10</f>
        <v>1</v>
      </c>
      <c r="KN20" s="1243">
        <f>+'Componentes T.H.'!$Q$10</f>
        <v>978086.40000000002</v>
      </c>
      <c r="KO20" s="1241"/>
      <c r="KP20" s="433">
        <f t="shared" ref="KP20" si="402">+KL20*KM20*KN20*KM11</f>
        <v>2934259.1999999997</v>
      </c>
      <c r="KQ20" s="123"/>
      <c r="KR20" s="124"/>
      <c r="KS20" s="124"/>
      <c r="KT20" s="124"/>
      <c r="KU20" s="938">
        <f t="shared" ref="KU20" si="403">+KP20/KP65</f>
        <v>5.5638481613003747E-3</v>
      </c>
      <c r="KW20" s="105">
        <v>16</v>
      </c>
      <c r="KX20" s="1234"/>
      <c r="KY20" s="506" t="str">
        <f t="shared" si="96"/>
        <v xml:space="preserve">Gestor Administrativo </v>
      </c>
      <c r="KZ20" s="507">
        <f>+VLOOKUP(KX13,'Cost x Depart'!$A$2:$AL$1275,KW20,0)</f>
        <v>0.6</v>
      </c>
      <c r="LA20" s="508">
        <f>+'Componentes T.H.'!$T$10</f>
        <v>1</v>
      </c>
      <c r="LB20" s="1243">
        <f>+'Componentes T.H.'!$Q$10</f>
        <v>978086.40000000002</v>
      </c>
      <c r="LC20" s="1241"/>
      <c r="LD20" s="433">
        <f t="shared" ref="LD20" si="404">+KZ20*LA20*LB20*LA11</f>
        <v>2934259.1999999997</v>
      </c>
      <c r="LE20" s="123"/>
      <c r="LF20" s="124"/>
      <c r="LG20" s="124"/>
      <c r="LH20" s="124"/>
      <c r="LI20" s="938">
        <f t="shared" ref="LI20" si="405">+LD20/LD65</f>
        <v>6.8396333025859575E-3</v>
      </c>
      <c r="LK20" s="105">
        <v>16</v>
      </c>
      <c r="LL20" s="1234"/>
      <c r="LM20" s="506" t="str">
        <f t="shared" si="99"/>
        <v xml:space="preserve">Gestor Administrativo </v>
      </c>
      <c r="LN20" s="507">
        <f>+VLOOKUP(LL13,'Cost x Depart'!$A$2:$AL$1275,LK20,0)</f>
        <v>0.8</v>
      </c>
      <c r="LO20" s="508">
        <f>+'Componentes T.H.'!$T$10</f>
        <v>1</v>
      </c>
      <c r="LP20" s="1243">
        <f>+'Componentes T.H.'!$Q$10</f>
        <v>978086.40000000002</v>
      </c>
      <c r="LQ20" s="1241"/>
      <c r="LR20" s="433">
        <f t="shared" ref="LR20" si="406">+LN20*LO20*LP20*LO11</f>
        <v>3912345.6000000006</v>
      </c>
      <c r="LS20" s="123"/>
      <c r="LT20" s="124"/>
      <c r="LU20" s="124"/>
      <c r="LV20" s="124"/>
      <c r="LW20" s="938">
        <f t="shared" ref="LW20" si="407">+LR20/LR65</f>
        <v>3.4855880557662796E-3</v>
      </c>
      <c r="LY20" s="105">
        <v>16</v>
      </c>
      <c r="LZ20" s="1234"/>
      <c r="MA20" s="506" t="str">
        <f t="shared" si="102"/>
        <v xml:space="preserve">Gestor Administrativo </v>
      </c>
      <c r="MB20" s="507">
        <f>+VLOOKUP(LZ13,'Cost x Depart'!$A$2:$AL$1275,LY20,0)</f>
        <v>0.8</v>
      </c>
      <c r="MC20" s="508">
        <f>+'Componentes T.H.'!$T$10</f>
        <v>1</v>
      </c>
      <c r="MD20" s="1243">
        <f>+'Componentes T.H.'!$Q$10</f>
        <v>978086.40000000002</v>
      </c>
      <c r="ME20" s="1241"/>
      <c r="MF20" s="433">
        <f t="shared" ref="MF20" si="408">+MB20*MC20*MD20*MC11</f>
        <v>3912345.6000000006</v>
      </c>
      <c r="MG20" s="123"/>
      <c r="MH20" s="124"/>
      <c r="MI20" s="124"/>
      <c r="MJ20" s="124"/>
      <c r="MK20" s="938">
        <f t="shared" ref="MK20" si="409">+MF20/MF65</f>
        <v>3.5139164867821096E-3</v>
      </c>
      <c r="MM20" s="105">
        <v>16</v>
      </c>
      <c r="MN20" s="1234"/>
      <c r="MO20" s="506" t="str">
        <f t="shared" si="105"/>
        <v xml:space="preserve">Gestor Administrativo </v>
      </c>
      <c r="MP20" s="507">
        <f>+VLOOKUP(MN13,'Cost x Depart'!$A$2:$AL$1275,MM20,0)</f>
        <v>0.8</v>
      </c>
      <c r="MQ20" s="508">
        <f>+'Componentes T.H.'!$T$10</f>
        <v>1</v>
      </c>
      <c r="MR20" s="1243">
        <f>+'Componentes T.H.'!$Q$10</f>
        <v>978086.40000000002</v>
      </c>
      <c r="MS20" s="1241"/>
      <c r="MT20" s="433">
        <f t="shared" ref="MT20" si="410">+MP20*MQ20*MR20*MQ11</f>
        <v>3912345.6000000006</v>
      </c>
      <c r="MU20" s="123"/>
      <c r="MV20" s="124"/>
      <c r="MW20" s="124"/>
      <c r="MX20" s="124"/>
      <c r="MY20" s="938">
        <f t="shared" ref="MY20" si="411">+MT20/MT65</f>
        <v>3.4339990727529218E-3</v>
      </c>
      <c r="NA20" s="105">
        <v>16</v>
      </c>
      <c r="NB20" s="1234"/>
      <c r="NC20" s="506" t="str">
        <f t="shared" si="108"/>
        <v xml:space="preserve">Gestor Administrativo </v>
      </c>
      <c r="ND20" s="507">
        <f>+VLOOKUP(NB13,'Cost x Depart'!$A$2:$AL$1275,NA20,0)</f>
        <v>1</v>
      </c>
      <c r="NE20" s="508">
        <f>+'Componentes T.H.'!$T$10</f>
        <v>1</v>
      </c>
      <c r="NF20" s="1243">
        <f>+'Componentes T.H.'!$Q$10</f>
        <v>978086.40000000002</v>
      </c>
      <c r="NG20" s="1241"/>
      <c r="NH20" s="433">
        <f t="shared" ref="NH20" si="412">+ND20*NE20*NF20*NE11</f>
        <v>4890432</v>
      </c>
      <c r="NI20" s="123"/>
      <c r="NJ20" s="124"/>
      <c r="NK20" s="124"/>
      <c r="NL20" s="124"/>
      <c r="NM20" s="938">
        <f t="shared" ref="NM20" si="413">+NH20/NH65</f>
        <v>2.2429196620256846E-3</v>
      </c>
      <c r="NO20" s="105">
        <v>16</v>
      </c>
      <c r="NP20" s="1234"/>
      <c r="NQ20" s="506" t="str">
        <f t="shared" si="111"/>
        <v xml:space="preserve">Gestor Administrativo </v>
      </c>
      <c r="NR20" s="507">
        <f>+VLOOKUP(NP13,'Cost x Depart'!$A$2:$AL$1275,NO20,0)</f>
        <v>0.4</v>
      </c>
      <c r="NS20" s="508">
        <f>+'Componentes T.H.'!$T$10</f>
        <v>1</v>
      </c>
      <c r="NT20" s="1243">
        <f>+'Componentes T.H.'!$Q$10</f>
        <v>978086.40000000002</v>
      </c>
      <c r="NU20" s="1241"/>
      <c r="NV20" s="433">
        <f t="shared" ref="NV20" si="414">+NR20*NS20*NT20*NS11</f>
        <v>1956172.8000000003</v>
      </c>
      <c r="NW20" s="123"/>
      <c r="NX20" s="124"/>
      <c r="NY20" s="124"/>
      <c r="NZ20" s="124"/>
      <c r="OA20" s="938">
        <f t="shared" ref="OA20" si="415">+NV20/NV65</f>
        <v>5.6358869658313061E-3</v>
      </c>
      <c r="OC20" s="105">
        <v>16</v>
      </c>
      <c r="OD20" s="1234"/>
      <c r="OE20" s="506" t="str">
        <f t="shared" si="114"/>
        <v xml:space="preserve">Gestor Administrativo </v>
      </c>
      <c r="OF20" s="507">
        <f>+VLOOKUP(OD13,'Cost x Depart'!$A$2:$AL$1275,OC20,0)</f>
        <v>0.6</v>
      </c>
      <c r="OG20" s="508">
        <f>+'Componentes T.H.'!$T$10</f>
        <v>1</v>
      </c>
      <c r="OH20" s="1243">
        <f>+'Componentes T.H.'!$Q$10</f>
        <v>978086.40000000002</v>
      </c>
      <c r="OI20" s="1241"/>
      <c r="OJ20" s="433">
        <f t="shared" ref="OJ20" si="416">+OF20*OG20*OH20*OG11</f>
        <v>2934259.1999999997</v>
      </c>
      <c r="OK20" s="123"/>
      <c r="OL20" s="124"/>
      <c r="OM20" s="124"/>
      <c r="ON20" s="124"/>
      <c r="OO20" s="938">
        <f t="shared" ref="OO20" si="417">+OJ20/OJ65</f>
        <v>6.4865776513197363E-3</v>
      </c>
      <c r="OQ20" s="105">
        <v>16</v>
      </c>
      <c r="OR20" s="1234"/>
      <c r="OS20" s="506" t="str">
        <f t="shared" si="117"/>
        <v xml:space="preserve">Gestor Administrativo </v>
      </c>
      <c r="OT20" s="507">
        <f>+VLOOKUP(OR13,'Cost x Depart'!$A$2:$AL$1275,OQ20,0)</f>
        <v>0.6</v>
      </c>
      <c r="OU20" s="508">
        <f>+'Componentes T.H.'!$T$10</f>
        <v>1</v>
      </c>
      <c r="OV20" s="1243">
        <f>+'Componentes T.H.'!$Q$10</f>
        <v>978086.40000000002</v>
      </c>
      <c r="OW20" s="1241"/>
      <c r="OX20" s="433">
        <f t="shared" ref="OX20" si="418">+OT20*OU20*OV20*OU11</f>
        <v>2934259.1999999997</v>
      </c>
      <c r="OY20" s="123"/>
      <c r="OZ20" s="124"/>
      <c r="PA20" s="124"/>
      <c r="PB20" s="124"/>
      <c r="PC20" s="938">
        <f t="shared" ref="PC20" si="419">+OX20/OX65</f>
        <v>5.1342818337358018E-3</v>
      </c>
      <c r="PE20" s="105">
        <v>16</v>
      </c>
      <c r="PF20" s="1234"/>
      <c r="PG20" s="506" t="str">
        <f t="shared" si="120"/>
        <v xml:space="preserve">Gestor Administrativo </v>
      </c>
      <c r="PH20" s="507">
        <f>+VLOOKUP(PF13,'Cost x Depart'!$A$2:$AL$1275,PE20,0)</f>
        <v>0.4</v>
      </c>
      <c r="PI20" s="508">
        <f>+'Componentes T.H.'!$T$10</f>
        <v>1</v>
      </c>
      <c r="PJ20" s="1243">
        <f>+'Componentes T.H.'!$Q$10</f>
        <v>978086.40000000002</v>
      </c>
      <c r="PK20" s="1241"/>
      <c r="PL20" s="433">
        <f t="shared" ref="PL20" si="420">+PH20*PI20*PJ20*PI11</f>
        <v>1956172.8000000003</v>
      </c>
      <c r="PM20" s="123"/>
      <c r="PN20" s="124"/>
      <c r="PO20" s="124"/>
      <c r="PP20" s="124"/>
      <c r="PQ20" s="938">
        <f t="shared" ref="PQ20" si="421">+PL20/PL65</f>
        <v>1.3460118020172435E-2</v>
      </c>
      <c r="PS20" s="105">
        <v>16</v>
      </c>
      <c r="PT20" s="1234"/>
      <c r="PU20" s="506" t="str">
        <f t="shared" si="123"/>
        <v xml:space="preserve">Gestor Administrativo </v>
      </c>
      <c r="PV20" s="507">
        <f>+VLOOKUP(PT13,'Cost x Depart'!$A$2:$AL$1275,PS20,0)</f>
        <v>0.4</v>
      </c>
      <c r="PW20" s="508">
        <f>+'Componentes T.H.'!$T$10</f>
        <v>1</v>
      </c>
      <c r="PX20" s="1243">
        <f>+'Componentes T.H.'!$Q$10</f>
        <v>978086.40000000002</v>
      </c>
      <c r="PY20" s="1241"/>
      <c r="PZ20" s="433">
        <f t="shared" ref="PZ20" si="422">+PV20*PW20*PX20*PW11</f>
        <v>1956172.8000000003</v>
      </c>
      <c r="QA20" s="123"/>
      <c r="QB20" s="124"/>
      <c r="QC20" s="124"/>
      <c r="QD20" s="124"/>
      <c r="QE20" s="938">
        <f t="shared" ref="QE20" si="423">+PZ20/PZ65</f>
        <v>8.721969783183672E-3</v>
      </c>
      <c r="QG20" s="105">
        <v>16</v>
      </c>
      <c r="QH20" s="1234"/>
      <c r="QI20" s="506" t="str">
        <f t="shared" si="126"/>
        <v xml:space="preserve">Gestor Administrativo </v>
      </c>
      <c r="QJ20" s="507">
        <f>+VLOOKUP(QH13,'Cost x Depart'!$A$2:$AL$1275,QG20,0)</f>
        <v>0.4</v>
      </c>
      <c r="QK20" s="508">
        <f>+'Componentes T.H.'!$T$10</f>
        <v>1</v>
      </c>
      <c r="QL20" s="1243">
        <f>+'Componentes T.H.'!$Q$10</f>
        <v>978086.40000000002</v>
      </c>
      <c r="QM20" s="1241"/>
      <c r="QN20" s="433">
        <f t="shared" ref="QN20" si="424">+QJ20*QK20*QL20*QK11</f>
        <v>1956172.8000000003</v>
      </c>
      <c r="QO20" s="123"/>
      <c r="QP20" s="124"/>
      <c r="QQ20" s="124"/>
      <c r="QR20" s="124"/>
      <c r="QS20" s="938">
        <f t="shared" ref="QS20" si="425">+QN20/QN65</f>
        <v>2.3308462208852847E-2</v>
      </c>
      <c r="QU20" s="105">
        <v>16</v>
      </c>
      <c r="QV20" s="1234"/>
      <c r="QW20" s="506" t="str">
        <f t="shared" si="129"/>
        <v xml:space="preserve">Gestor Administrativo </v>
      </c>
      <c r="QX20" s="507">
        <f>+VLOOKUP(QV13,'Cost x Depart'!$A$2:$AL$1275,QU20,0)</f>
        <v>0.4</v>
      </c>
      <c r="QY20" s="508">
        <f>+'Componentes T.H.'!$T$10</f>
        <v>1</v>
      </c>
      <c r="QZ20" s="1243">
        <f>+'Componentes T.H.'!$Q$10</f>
        <v>978086.40000000002</v>
      </c>
      <c r="RA20" s="1241"/>
      <c r="RB20" s="433">
        <f t="shared" ref="RB20" si="426">+QX20*QY20*QZ20*QY11</f>
        <v>1956172.8000000003</v>
      </c>
      <c r="RC20" s="123"/>
      <c r="RD20" s="124"/>
      <c r="RE20" s="124"/>
      <c r="RF20" s="124"/>
      <c r="RG20" s="938">
        <f t="shared" ref="RG20" si="427">+RB20/RB65</f>
        <v>1.0339607705004078E-2</v>
      </c>
      <c r="RI20" s="105">
        <v>16</v>
      </c>
      <c r="RJ20" s="1234"/>
      <c r="RK20" s="506" t="str">
        <f t="shared" si="132"/>
        <v xml:space="preserve">Gestor Administrativo </v>
      </c>
      <c r="RL20" s="507">
        <f>+VLOOKUP(RJ13,'Cost x Depart'!$A$2:$AL$1275,RI20,0)</f>
        <v>0.4</v>
      </c>
      <c r="RM20" s="508">
        <f>+'Componentes T.H.'!$T$10</f>
        <v>1</v>
      </c>
      <c r="RN20" s="1243">
        <f>+'Componentes T.H.'!$Q$10</f>
        <v>978086.40000000002</v>
      </c>
      <c r="RO20" s="1241"/>
      <c r="RP20" s="433">
        <f t="shared" ref="RP20" si="428">+RL20*RM20*RN20*RM11</f>
        <v>1956172.8000000003</v>
      </c>
      <c r="RQ20" s="123"/>
      <c r="RR20" s="124"/>
      <c r="RS20" s="124"/>
      <c r="RT20" s="124"/>
      <c r="RU20" s="938">
        <f t="shared" ref="RU20" si="429">+RP20/RP65</f>
        <v>2.3246010380023153E-2</v>
      </c>
      <c r="RW20" s="105">
        <v>16</v>
      </c>
      <c r="RX20" s="1234"/>
      <c r="RY20" s="506" t="str">
        <f t="shared" si="135"/>
        <v xml:space="preserve">Gestor Administrativo </v>
      </c>
      <c r="RZ20" s="507">
        <f>+VLOOKUP(RX13,'Cost x Depart'!$A$2:$AL$1275,RW20,0)</f>
        <v>0.4</v>
      </c>
      <c r="SA20" s="508">
        <f>+'Componentes T.H.'!$T$10</f>
        <v>1</v>
      </c>
      <c r="SB20" s="1243">
        <f>+'Componentes T.H.'!$Q$10</f>
        <v>978086.40000000002</v>
      </c>
      <c r="SC20" s="1241"/>
      <c r="SD20" s="433">
        <f t="shared" ref="SD20" si="430">+RZ20*SA20*SB20*SA11</f>
        <v>1956172.8000000003</v>
      </c>
      <c r="SE20" s="123"/>
      <c r="SF20" s="124"/>
      <c r="SG20" s="124"/>
      <c r="SH20" s="124"/>
      <c r="SI20" s="938">
        <f t="shared" ref="SI20" si="431">+SD20/SD65</f>
        <v>1.530812473379559E-2</v>
      </c>
      <c r="SK20" s="105">
        <v>16</v>
      </c>
      <c r="SL20" s="1234"/>
      <c r="SM20" s="506" t="str">
        <f t="shared" si="138"/>
        <v xml:space="preserve">Gestor Administrativo </v>
      </c>
      <c r="SN20" s="507">
        <f>+VLOOKUP(SL13,'Cost x Depart'!$A$2:$AL$1275,SK20,0)</f>
        <v>0</v>
      </c>
      <c r="SO20" s="508">
        <f>+'Componentes T.H.'!$T$10</f>
        <v>1</v>
      </c>
      <c r="SP20" s="1243">
        <f>+'Componentes T.H.'!$Q$10</f>
        <v>978086.40000000002</v>
      </c>
      <c r="SQ20" s="1241"/>
      <c r="SR20" s="433">
        <f t="shared" ref="SR20" si="432">+SN20*SO20*SP20*SO11</f>
        <v>0</v>
      </c>
      <c r="SS20" s="123"/>
      <c r="ST20" s="124"/>
      <c r="SU20" s="124"/>
      <c r="SV20" s="124"/>
      <c r="SW20" s="938">
        <f>IF(ISERROR((+SR20/SR65)),0,(+SR20/SR65))</f>
        <v>0</v>
      </c>
      <c r="SY20" s="105">
        <v>12</v>
      </c>
      <c r="SZ20" s="1234"/>
      <c r="TA20" s="506" t="str">
        <f t="shared" si="140"/>
        <v xml:space="preserve">Gestor Administrativo </v>
      </c>
      <c r="TB20" s="507">
        <f t="shared" si="141"/>
        <v>22.999999999999993</v>
      </c>
      <c r="TC20" s="508">
        <f>+'Componentes T.H.'!$T$10</f>
        <v>1</v>
      </c>
      <c r="TD20" s="1243">
        <f>+'Componentes T.H.'!$Q$10</f>
        <v>978086.40000000002</v>
      </c>
      <c r="TE20" s="1241"/>
      <c r="TF20" s="433">
        <f t="shared" ref="TF20" si="433">+TB20*TC20*TD20*TC11</f>
        <v>112479935.99999996</v>
      </c>
      <c r="TG20" s="123"/>
      <c r="TH20" s="124"/>
      <c r="TI20" s="124"/>
      <c r="TJ20" s="124"/>
      <c r="TK20" s="938">
        <f t="shared" ref="TK20" si="434">+TF20/TF65</f>
        <v>3.4639829174362971E-3</v>
      </c>
    </row>
    <row r="21" spans="1:531" ht="15.75" customHeight="1" collapsed="1" thickBot="1">
      <c r="B21" s="950" t="s">
        <v>2327</v>
      </c>
      <c r="C21" s="130"/>
      <c r="D21" s="130"/>
      <c r="E21" s="130"/>
      <c r="F21" s="130"/>
      <c r="G21" s="130"/>
      <c r="H21" s="458">
        <f>+SUM(H16:H20)</f>
        <v>1008303541.7921667</v>
      </c>
      <c r="I21" s="131"/>
      <c r="J21" s="124"/>
      <c r="K21" s="124"/>
      <c r="L21" s="124"/>
      <c r="P21" s="950" t="s">
        <v>2327</v>
      </c>
      <c r="Q21" s="130"/>
      <c r="R21" s="130"/>
      <c r="S21" s="130"/>
      <c r="T21" s="130"/>
      <c r="U21" s="130"/>
      <c r="V21" s="458">
        <f t="shared" ref="V21" si="435">+SUM(V16:V20)</f>
        <v>243980575.53849998</v>
      </c>
      <c r="W21" s="131"/>
      <c r="X21" s="124"/>
      <c r="Y21" s="124"/>
      <c r="Z21" s="124"/>
      <c r="AD21" s="950" t="s">
        <v>2327</v>
      </c>
      <c r="AE21" s="130"/>
      <c r="AF21" s="130"/>
      <c r="AG21" s="130"/>
      <c r="AH21" s="130"/>
      <c r="AI21" s="130"/>
      <c r="AJ21" s="458">
        <f t="shared" ref="AJ21" si="436">+SUM(AJ16:AJ20)</f>
        <v>1252284117.3306668</v>
      </c>
      <c r="AK21" s="131"/>
      <c r="AL21" s="124"/>
      <c r="AM21" s="124"/>
      <c r="AN21" s="124"/>
      <c r="AR21" s="950" t="s">
        <v>2327</v>
      </c>
      <c r="AS21" s="130"/>
      <c r="AT21" s="130"/>
      <c r="AU21" s="130"/>
      <c r="AV21" s="130"/>
      <c r="AW21" s="130"/>
      <c r="AX21" s="458">
        <f t="shared" ref="AX21" si="437">+SUM(AX16:AX20)</f>
        <v>375446538.15366662</v>
      </c>
      <c r="AY21" s="131"/>
      <c r="AZ21" s="124"/>
      <c r="BA21" s="124"/>
      <c r="BB21" s="124"/>
      <c r="BF21" s="950" t="s">
        <v>2327</v>
      </c>
      <c r="BG21" s="130"/>
      <c r="BH21" s="130"/>
      <c r="BI21" s="130"/>
      <c r="BJ21" s="130"/>
      <c r="BK21" s="130"/>
      <c r="BL21" s="458">
        <f t="shared" ref="BL21" si="438">+SUM(BL16:BL20)</f>
        <v>532131238.47345835</v>
      </c>
      <c r="BM21" s="131"/>
      <c r="BN21" s="124"/>
      <c r="BO21" s="124"/>
      <c r="BP21" s="124"/>
      <c r="BT21" s="950" t="s">
        <v>2327</v>
      </c>
      <c r="BU21" s="130"/>
      <c r="BV21" s="130"/>
      <c r="BW21" s="130"/>
      <c r="BX21" s="130"/>
      <c r="BY21" s="130"/>
      <c r="BZ21" s="458">
        <f t="shared" ref="BZ21:ED21" si="439">+SUM(BZ16:BZ20)</f>
        <v>463189970.33275008</v>
      </c>
      <c r="CA21" s="131"/>
      <c r="CB21" s="124"/>
      <c r="CC21" s="124"/>
      <c r="CD21" s="124"/>
      <c r="CH21" s="950" t="s">
        <v>2327</v>
      </c>
      <c r="CI21" s="130"/>
      <c r="CJ21" s="130"/>
      <c r="CK21" s="130"/>
      <c r="CL21" s="130"/>
      <c r="CM21" s="130"/>
      <c r="CN21" s="458">
        <f t="shared" si="439"/>
        <v>469457358.34554172</v>
      </c>
      <c r="CO21" s="131"/>
      <c r="CP21" s="124"/>
      <c r="CQ21" s="124"/>
      <c r="CR21" s="124"/>
      <c r="CV21" s="950" t="s">
        <v>2327</v>
      </c>
      <c r="CW21" s="130"/>
      <c r="CX21" s="130"/>
      <c r="CY21" s="130"/>
      <c r="CZ21" s="130"/>
      <c r="DA21" s="130"/>
      <c r="DB21" s="458">
        <f t="shared" si="439"/>
        <v>256515351.56408334</v>
      </c>
      <c r="DC21" s="131"/>
      <c r="DD21" s="124"/>
      <c r="DE21" s="124"/>
      <c r="DF21" s="124"/>
      <c r="DJ21" s="950" t="s">
        <v>2327</v>
      </c>
      <c r="DK21" s="130"/>
      <c r="DL21" s="130"/>
      <c r="DM21" s="130"/>
      <c r="DN21" s="130"/>
      <c r="DO21" s="130"/>
      <c r="DP21" s="458">
        <f t="shared" si="439"/>
        <v>500794298.40950006</v>
      </c>
      <c r="DQ21" s="131"/>
      <c r="DR21" s="124"/>
      <c r="DS21" s="124"/>
      <c r="DT21" s="124"/>
      <c r="DX21" s="950" t="s">
        <v>2327</v>
      </c>
      <c r="DY21" s="130"/>
      <c r="DZ21" s="130"/>
      <c r="EA21" s="130"/>
      <c r="EB21" s="130"/>
      <c r="EC21" s="130"/>
      <c r="ED21" s="458">
        <f t="shared" si="439"/>
        <v>369179150.14087504</v>
      </c>
      <c r="EE21" s="131"/>
      <c r="EF21" s="124"/>
      <c r="EG21" s="124"/>
      <c r="EH21" s="124"/>
      <c r="EL21" s="950" t="s">
        <v>2327</v>
      </c>
      <c r="EM21" s="130"/>
      <c r="EN21" s="130"/>
      <c r="EO21" s="130"/>
      <c r="EP21" s="130"/>
      <c r="EQ21" s="130"/>
      <c r="ER21" s="458">
        <f t="shared" ref="ER21:GV21" si="440">+SUM(ER16:ER20)</f>
        <v>519596462.44787502</v>
      </c>
      <c r="ES21" s="131"/>
      <c r="ET21" s="124"/>
      <c r="EU21" s="124"/>
      <c r="EV21" s="124"/>
      <c r="EZ21" s="950" t="s">
        <v>2327</v>
      </c>
      <c r="FA21" s="130"/>
      <c r="FB21" s="130"/>
      <c r="FC21" s="130"/>
      <c r="FD21" s="130"/>
      <c r="FE21" s="130"/>
      <c r="FF21" s="458">
        <f t="shared" si="440"/>
        <v>557200790.52462506</v>
      </c>
      <c r="FG21" s="131"/>
      <c r="FH21" s="124"/>
      <c r="FI21" s="124"/>
      <c r="FJ21" s="124"/>
      <c r="FN21" s="950" t="s">
        <v>2327</v>
      </c>
      <c r="FO21" s="130"/>
      <c r="FP21" s="130"/>
      <c r="FQ21" s="130"/>
      <c r="FR21" s="130"/>
      <c r="FS21" s="130"/>
      <c r="FT21" s="458">
        <f t="shared" si="440"/>
        <v>409917172.2240209</v>
      </c>
      <c r="FU21" s="131"/>
      <c r="FV21" s="124"/>
      <c r="FW21" s="124"/>
      <c r="FX21" s="124"/>
      <c r="GB21" s="950" t="s">
        <v>2327</v>
      </c>
      <c r="GC21" s="130"/>
      <c r="GD21" s="130"/>
      <c r="GE21" s="130"/>
      <c r="GF21" s="130"/>
      <c r="GG21" s="130"/>
      <c r="GH21" s="458">
        <f t="shared" si="440"/>
        <v>322322925.69839579</v>
      </c>
      <c r="GI21" s="131"/>
      <c r="GJ21" s="124"/>
      <c r="GK21" s="124"/>
      <c r="GL21" s="124"/>
      <c r="GP21" s="950" t="s">
        <v>2327</v>
      </c>
      <c r="GQ21" s="130"/>
      <c r="GR21" s="130"/>
      <c r="GS21" s="130"/>
      <c r="GT21" s="130"/>
      <c r="GU21" s="130"/>
      <c r="GV21" s="458">
        <f t="shared" si="440"/>
        <v>206376247.46174997</v>
      </c>
      <c r="GW21" s="131"/>
      <c r="GX21" s="124"/>
      <c r="GY21" s="124"/>
      <c r="GZ21" s="124"/>
      <c r="HD21" s="950" t="s">
        <v>2327</v>
      </c>
      <c r="HE21" s="130"/>
      <c r="HF21" s="130"/>
      <c r="HG21" s="130"/>
      <c r="HH21" s="130"/>
      <c r="HI21" s="130"/>
      <c r="HJ21" s="458">
        <f t="shared" ref="HJ21:KB21" si="441">+SUM(HJ16:HJ20)</f>
        <v>632260261.02466667</v>
      </c>
      <c r="HK21" s="131"/>
      <c r="HL21" s="124"/>
      <c r="HM21" s="124"/>
      <c r="HN21" s="124"/>
      <c r="HR21" s="950" t="s">
        <v>2327</v>
      </c>
      <c r="HS21" s="130"/>
      <c r="HT21" s="130"/>
      <c r="HU21" s="130"/>
      <c r="HV21" s="130"/>
      <c r="HW21" s="130"/>
      <c r="HX21" s="458">
        <f t="shared" si="441"/>
        <v>231445799.51291665</v>
      </c>
      <c r="HY21" s="131"/>
      <c r="HZ21" s="124"/>
      <c r="IA21" s="124"/>
      <c r="IB21" s="124"/>
      <c r="IF21" s="950" t="s">
        <v>2327</v>
      </c>
      <c r="IG21" s="130"/>
      <c r="IH21" s="130"/>
      <c r="II21" s="130"/>
      <c r="IJ21" s="130"/>
      <c r="IK21" s="130"/>
      <c r="IL21" s="458">
        <f t="shared" si="441"/>
        <v>156237143.35941666</v>
      </c>
      <c r="IM21" s="131"/>
      <c r="IN21" s="124"/>
      <c r="IO21" s="124"/>
      <c r="IP21" s="124"/>
      <c r="IT21" s="950" t="s">
        <v>2327</v>
      </c>
      <c r="IU21" s="130"/>
      <c r="IV21" s="130"/>
      <c r="IW21" s="130"/>
      <c r="IX21" s="130"/>
      <c r="IY21" s="130"/>
      <c r="IZ21" s="458">
        <f t="shared" si="441"/>
        <v>920560109.61308336</v>
      </c>
      <c r="JA21" s="131"/>
      <c r="JB21" s="124"/>
      <c r="JC21" s="124"/>
      <c r="JD21" s="124"/>
      <c r="JH21" s="950" t="s">
        <v>2327</v>
      </c>
      <c r="JI21" s="130"/>
      <c r="JJ21" s="130"/>
      <c r="JK21" s="130"/>
      <c r="JL21" s="130"/>
      <c r="JM21" s="130"/>
      <c r="JN21" s="458">
        <f t="shared" ref="JN21" si="442">+SUM(JN16:JN20)</f>
        <v>1076797252.9724998</v>
      </c>
      <c r="JO21" s="131"/>
      <c r="JP21" s="124"/>
      <c r="JQ21" s="124"/>
      <c r="JR21" s="124"/>
      <c r="JV21" s="950" t="s">
        <v>2327</v>
      </c>
      <c r="JW21" s="130"/>
      <c r="JX21" s="130"/>
      <c r="JY21" s="130"/>
      <c r="JZ21" s="130"/>
      <c r="KA21" s="130"/>
      <c r="KB21" s="458">
        <f t="shared" si="441"/>
        <v>312921843.67920834</v>
      </c>
      <c r="KC21" s="131"/>
      <c r="KD21" s="124"/>
      <c r="KE21" s="124"/>
      <c r="KF21" s="124"/>
      <c r="KJ21" s="950" t="s">
        <v>2327</v>
      </c>
      <c r="KK21" s="130"/>
      <c r="KL21" s="130"/>
      <c r="KM21" s="130"/>
      <c r="KN21" s="130"/>
      <c r="KO21" s="130"/>
      <c r="KP21" s="458">
        <f t="shared" ref="KP21:MT21" si="443">+SUM(KP16:KP20)</f>
        <v>193841471.43616664</v>
      </c>
      <c r="KQ21" s="131"/>
      <c r="KR21" s="124"/>
      <c r="KS21" s="124"/>
      <c r="KT21" s="124"/>
      <c r="KX21" s="950" t="s">
        <v>2327</v>
      </c>
      <c r="KY21" s="130"/>
      <c r="KZ21" s="130"/>
      <c r="LA21" s="130"/>
      <c r="LB21" s="130"/>
      <c r="LC21" s="130"/>
      <c r="LD21" s="458">
        <f t="shared" si="443"/>
        <v>162504531.37220833</v>
      </c>
      <c r="LE21" s="131"/>
      <c r="LF21" s="124"/>
      <c r="LG21" s="124"/>
      <c r="LH21" s="124"/>
      <c r="LL21" s="950" t="s">
        <v>2327</v>
      </c>
      <c r="LM21" s="130"/>
      <c r="LN21" s="130"/>
      <c r="LO21" s="130"/>
      <c r="LP21" s="130"/>
      <c r="LQ21" s="130"/>
      <c r="LR21" s="458">
        <f t="shared" si="443"/>
        <v>403649784.21122921</v>
      </c>
      <c r="LS21" s="131"/>
      <c r="LT21" s="124"/>
      <c r="LU21" s="124"/>
      <c r="LV21" s="124"/>
      <c r="LZ21" s="950" t="s">
        <v>2327</v>
      </c>
      <c r="MA21" s="130"/>
      <c r="MB21" s="130"/>
      <c r="MC21" s="130"/>
      <c r="MD21" s="130"/>
      <c r="ME21" s="130"/>
      <c r="MF21" s="458">
        <f t="shared" si="443"/>
        <v>400516090.20483333</v>
      </c>
      <c r="MG21" s="131"/>
      <c r="MH21" s="124"/>
      <c r="MI21" s="124"/>
      <c r="MJ21" s="124"/>
      <c r="MN21" s="950" t="s">
        <v>2327</v>
      </c>
      <c r="MO21" s="130"/>
      <c r="MP21" s="130"/>
      <c r="MQ21" s="130"/>
      <c r="MR21" s="130"/>
      <c r="MS21" s="130"/>
      <c r="MT21" s="458">
        <f t="shared" si="443"/>
        <v>419318254.24320835</v>
      </c>
      <c r="MU21" s="131"/>
      <c r="MV21" s="124"/>
      <c r="MW21" s="124"/>
      <c r="MX21" s="124"/>
      <c r="NB21" s="950" t="s">
        <v>2327</v>
      </c>
      <c r="NC21" s="130"/>
      <c r="ND21" s="130"/>
      <c r="NE21" s="130"/>
      <c r="NF21" s="130"/>
      <c r="NG21" s="130"/>
      <c r="NH21" s="458">
        <f t="shared" ref="NH21:PL21" si="444">+SUM(NH16:NH20)</f>
        <v>767009103.29968739</v>
      </c>
      <c r="NI21" s="131"/>
      <c r="NJ21" s="124"/>
      <c r="NK21" s="124"/>
      <c r="NL21" s="124"/>
      <c r="NP21" s="950" t="s">
        <v>2327</v>
      </c>
      <c r="NQ21" s="130"/>
      <c r="NR21" s="130"/>
      <c r="NS21" s="130"/>
      <c r="NT21" s="130"/>
      <c r="NU21" s="130"/>
      <c r="NV21" s="458">
        <f t="shared" si="444"/>
        <v>131316776.96170834</v>
      </c>
      <c r="NW21" s="131"/>
      <c r="NX21" s="124"/>
      <c r="NY21" s="124"/>
      <c r="NZ21" s="124"/>
      <c r="OD21" s="950" t="s">
        <v>2327</v>
      </c>
      <c r="OE21" s="130"/>
      <c r="OF21" s="130"/>
      <c r="OG21" s="130"/>
      <c r="OH21" s="130"/>
      <c r="OI21" s="130"/>
      <c r="OJ21" s="458">
        <f t="shared" si="444"/>
        <v>168771919.38499999</v>
      </c>
      <c r="OK21" s="131"/>
      <c r="OL21" s="124"/>
      <c r="OM21" s="124"/>
      <c r="ON21" s="124"/>
      <c r="OR21" s="950" t="s">
        <v>2327</v>
      </c>
      <c r="OS21" s="130"/>
      <c r="OT21" s="130"/>
      <c r="OU21" s="130"/>
      <c r="OV21" s="130"/>
      <c r="OW21" s="130"/>
      <c r="OX21" s="458">
        <f t="shared" si="444"/>
        <v>212643635.47454166</v>
      </c>
      <c r="OY21" s="131"/>
      <c r="OZ21" s="124"/>
      <c r="PA21" s="124"/>
      <c r="PB21" s="124"/>
      <c r="PF21" s="950" t="s">
        <v>2327</v>
      </c>
      <c r="PG21" s="130"/>
      <c r="PH21" s="130"/>
      <c r="PI21" s="130"/>
      <c r="PJ21" s="130"/>
      <c r="PK21" s="130"/>
      <c r="PL21" s="458">
        <f t="shared" si="444"/>
        <v>59241814.814604163</v>
      </c>
      <c r="PM21" s="131"/>
      <c r="PN21" s="124"/>
      <c r="PO21" s="124"/>
      <c r="PP21" s="124"/>
      <c r="PT21" s="950" t="s">
        <v>2327</v>
      </c>
      <c r="PU21" s="130"/>
      <c r="PV21" s="130"/>
      <c r="PW21" s="130"/>
      <c r="PX21" s="130"/>
      <c r="PY21" s="130"/>
      <c r="PZ21" s="458">
        <f t="shared" ref="PZ21:SD21" si="445">+SUM(PZ16:PZ20)</f>
        <v>87445060.872166663</v>
      </c>
      <c r="QA21" s="131"/>
      <c r="QB21" s="124"/>
      <c r="QC21" s="124"/>
      <c r="QD21" s="124"/>
      <c r="QH21" s="950" t="s">
        <v>2327</v>
      </c>
      <c r="QI21" s="130"/>
      <c r="QJ21" s="130"/>
      <c r="QK21" s="130"/>
      <c r="QL21" s="130"/>
      <c r="QM21" s="130"/>
      <c r="QN21" s="458">
        <f t="shared" si="445"/>
        <v>37305956.769833334</v>
      </c>
      <c r="QO21" s="131"/>
      <c r="QP21" s="124"/>
      <c r="QQ21" s="124"/>
      <c r="QR21" s="124"/>
      <c r="QV21" s="950" t="s">
        <v>2327</v>
      </c>
      <c r="QW21" s="130"/>
      <c r="QX21" s="130"/>
      <c r="QY21" s="130"/>
      <c r="QZ21" s="130"/>
      <c r="RA21" s="130"/>
      <c r="RB21" s="458">
        <f t="shared" si="445"/>
        <v>74910284.846583337</v>
      </c>
      <c r="RC21" s="131"/>
      <c r="RD21" s="124"/>
      <c r="RE21" s="124"/>
      <c r="RF21" s="124"/>
      <c r="RJ21" s="950" t="s">
        <v>2327</v>
      </c>
      <c r="RK21" s="130"/>
      <c r="RL21" s="130"/>
      <c r="RM21" s="130"/>
      <c r="RN21" s="130"/>
      <c r="RO21" s="130"/>
      <c r="RP21" s="458">
        <f t="shared" si="445"/>
        <v>37305956.769833334</v>
      </c>
      <c r="RQ21" s="131"/>
      <c r="RR21" s="124"/>
      <c r="RS21" s="124"/>
      <c r="RT21" s="124"/>
      <c r="RX21" s="950" t="s">
        <v>2327</v>
      </c>
      <c r="RY21" s="130"/>
      <c r="RZ21" s="130"/>
      <c r="SA21" s="130"/>
      <c r="SB21" s="130"/>
      <c r="SC21" s="130"/>
      <c r="SD21" s="458">
        <f t="shared" si="445"/>
        <v>52974426.8018125</v>
      </c>
      <c r="SE21" s="131"/>
      <c r="SF21" s="124"/>
      <c r="SG21" s="124"/>
      <c r="SH21" s="124"/>
      <c r="SL21" s="950" t="s">
        <v>2327</v>
      </c>
      <c r="SM21" s="130"/>
      <c r="SN21" s="130"/>
      <c r="SO21" s="130"/>
      <c r="SP21" s="130"/>
      <c r="SQ21" s="130"/>
      <c r="SR21" s="458">
        <f t="shared" ref="SR21" si="446">+SUM(SR16:SR20)</f>
        <v>0</v>
      </c>
      <c r="SS21" s="131"/>
      <c r="ST21" s="124"/>
      <c r="SU21" s="124"/>
      <c r="SV21" s="124"/>
      <c r="SZ21" s="950" t="s">
        <v>2327</v>
      </c>
      <c r="TA21" s="130"/>
      <c r="TB21" s="130"/>
      <c r="TC21" s="130"/>
      <c r="TD21" s="130"/>
      <c r="TE21" s="130"/>
      <c r="TF21" s="458">
        <f t="shared" ref="TF21" si="447">+SUM(TF16:TF20)</f>
        <v>11696591845.759918</v>
      </c>
      <c r="TG21" s="131"/>
      <c r="TH21" s="124"/>
      <c r="TI21" s="124"/>
      <c r="TJ21" s="124"/>
    </row>
    <row r="22" spans="1:531" thickBot="1"/>
    <row r="23" spans="1:531" ht="30.75" customHeight="1" thickBot="1">
      <c r="B23" s="109" t="s">
        <v>1232</v>
      </c>
      <c r="C23" s="1220" t="s">
        <v>1219</v>
      </c>
      <c r="D23" s="1223"/>
      <c r="E23" s="133" t="s">
        <v>1330</v>
      </c>
      <c r="F23" s="1220" t="s">
        <v>1366</v>
      </c>
      <c r="G23" s="1223"/>
      <c r="H23" s="133" t="s">
        <v>1229</v>
      </c>
      <c r="I23" s="122"/>
      <c r="M23" s="930"/>
      <c r="P23" s="109" t="s">
        <v>1232</v>
      </c>
      <c r="Q23" s="1220" t="s">
        <v>1219</v>
      </c>
      <c r="R23" s="1223"/>
      <c r="S23" s="133" t="s">
        <v>1330</v>
      </c>
      <c r="T23" s="1220" t="s">
        <v>1366</v>
      </c>
      <c r="U23" s="1223"/>
      <c r="V23" s="133" t="s">
        <v>1229</v>
      </c>
      <c r="W23" s="122"/>
      <c r="AA23" s="930"/>
      <c r="AD23" s="109" t="s">
        <v>1232</v>
      </c>
      <c r="AE23" s="1220" t="s">
        <v>1219</v>
      </c>
      <c r="AF23" s="1223"/>
      <c r="AG23" s="133" t="s">
        <v>1330</v>
      </c>
      <c r="AH23" s="1220" t="s">
        <v>1366</v>
      </c>
      <c r="AI23" s="1223"/>
      <c r="AJ23" s="133" t="s">
        <v>1229</v>
      </c>
      <c r="AK23" s="122"/>
      <c r="AO23" s="930"/>
      <c r="AR23" s="109" t="s">
        <v>1232</v>
      </c>
      <c r="AS23" s="1220" t="s">
        <v>1219</v>
      </c>
      <c r="AT23" s="1223"/>
      <c r="AU23" s="133" t="s">
        <v>1330</v>
      </c>
      <c r="AV23" s="1220" t="s">
        <v>1366</v>
      </c>
      <c r="AW23" s="1223"/>
      <c r="AX23" s="133" t="s">
        <v>1229</v>
      </c>
      <c r="AY23" s="122"/>
      <c r="BC23" s="930"/>
      <c r="BF23" s="109" t="s">
        <v>1232</v>
      </c>
      <c r="BG23" s="1220" t="s">
        <v>1219</v>
      </c>
      <c r="BH23" s="1223"/>
      <c r="BI23" s="133" t="s">
        <v>1330</v>
      </c>
      <c r="BJ23" s="1220" t="s">
        <v>1366</v>
      </c>
      <c r="BK23" s="1223"/>
      <c r="BL23" s="133" t="s">
        <v>1229</v>
      </c>
      <c r="BM23" s="122"/>
      <c r="BQ23" s="930"/>
      <c r="BT23" s="109" t="s">
        <v>1232</v>
      </c>
      <c r="BU23" s="1220" t="s">
        <v>1219</v>
      </c>
      <c r="BV23" s="1223"/>
      <c r="BW23" s="133" t="s">
        <v>1330</v>
      </c>
      <c r="BX23" s="1220" t="s">
        <v>1366</v>
      </c>
      <c r="BY23" s="1223"/>
      <c r="BZ23" s="133" t="s">
        <v>1229</v>
      </c>
      <c r="CA23" s="122"/>
      <c r="CE23" s="930"/>
      <c r="CH23" s="109" t="s">
        <v>1232</v>
      </c>
      <c r="CI23" s="1220" t="s">
        <v>1219</v>
      </c>
      <c r="CJ23" s="1223"/>
      <c r="CK23" s="133" t="s">
        <v>1330</v>
      </c>
      <c r="CL23" s="1220" t="s">
        <v>1366</v>
      </c>
      <c r="CM23" s="1223"/>
      <c r="CN23" s="133" t="s">
        <v>1229</v>
      </c>
      <c r="CO23" s="122"/>
      <c r="CS23" s="930"/>
      <c r="CV23" s="109" t="s">
        <v>1232</v>
      </c>
      <c r="CW23" s="1220" t="s">
        <v>1219</v>
      </c>
      <c r="CX23" s="1223"/>
      <c r="CY23" s="133" t="s">
        <v>1330</v>
      </c>
      <c r="CZ23" s="1220" t="s">
        <v>1366</v>
      </c>
      <c r="DA23" s="1223"/>
      <c r="DB23" s="133" t="s">
        <v>1229</v>
      </c>
      <c r="DC23" s="122"/>
      <c r="DG23" s="930"/>
      <c r="DJ23" s="109" t="s">
        <v>1232</v>
      </c>
      <c r="DK23" s="1220" t="s">
        <v>1219</v>
      </c>
      <c r="DL23" s="1223"/>
      <c r="DM23" s="133" t="s">
        <v>1330</v>
      </c>
      <c r="DN23" s="1220" t="s">
        <v>1366</v>
      </c>
      <c r="DO23" s="1223"/>
      <c r="DP23" s="133" t="s">
        <v>1229</v>
      </c>
      <c r="DQ23" s="122"/>
      <c r="DU23" s="930"/>
      <c r="DX23" s="109" t="s">
        <v>1232</v>
      </c>
      <c r="DY23" s="1220" t="s">
        <v>1219</v>
      </c>
      <c r="DZ23" s="1223"/>
      <c r="EA23" s="133" t="s">
        <v>1330</v>
      </c>
      <c r="EB23" s="1220" t="s">
        <v>1366</v>
      </c>
      <c r="EC23" s="1223"/>
      <c r="ED23" s="133" t="s">
        <v>1229</v>
      </c>
      <c r="EE23" s="122"/>
      <c r="EI23" s="930"/>
      <c r="EL23" s="109" t="s">
        <v>1232</v>
      </c>
      <c r="EM23" s="1220" t="s">
        <v>1219</v>
      </c>
      <c r="EN23" s="1223"/>
      <c r="EO23" s="133" t="s">
        <v>1330</v>
      </c>
      <c r="EP23" s="1220" t="s">
        <v>1366</v>
      </c>
      <c r="EQ23" s="1223"/>
      <c r="ER23" s="133" t="s">
        <v>1229</v>
      </c>
      <c r="ES23" s="122"/>
      <c r="EW23" s="930"/>
      <c r="EZ23" s="109" t="s">
        <v>1232</v>
      </c>
      <c r="FA23" s="1220" t="s">
        <v>1219</v>
      </c>
      <c r="FB23" s="1223"/>
      <c r="FC23" s="133" t="s">
        <v>1330</v>
      </c>
      <c r="FD23" s="1220" t="s">
        <v>1366</v>
      </c>
      <c r="FE23" s="1223"/>
      <c r="FF23" s="133" t="s">
        <v>1229</v>
      </c>
      <c r="FG23" s="122"/>
      <c r="FK23" s="930"/>
      <c r="FN23" s="109" t="s">
        <v>1232</v>
      </c>
      <c r="FO23" s="1220" t="s">
        <v>1219</v>
      </c>
      <c r="FP23" s="1223"/>
      <c r="FQ23" s="133" t="s">
        <v>1330</v>
      </c>
      <c r="FR23" s="1220" t="s">
        <v>1366</v>
      </c>
      <c r="FS23" s="1223"/>
      <c r="FT23" s="133" t="s">
        <v>1229</v>
      </c>
      <c r="FU23" s="122"/>
      <c r="FY23" s="930"/>
      <c r="GB23" s="109" t="s">
        <v>1232</v>
      </c>
      <c r="GC23" s="1220" t="s">
        <v>1219</v>
      </c>
      <c r="GD23" s="1223"/>
      <c r="GE23" s="133" t="s">
        <v>1330</v>
      </c>
      <c r="GF23" s="1220" t="s">
        <v>1366</v>
      </c>
      <c r="GG23" s="1223"/>
      <c r="GH23" s="133" t="s">
        <v>1229</v>
      </c>
      <c r="GI23" s="122"/>
      <c r="GM23" s="930"/>
      <c r="GP23" s="109" t="s">
        <v>1232</v>
      </c>
      <c r="GQ23" s="1220" t="s">
        <v>1219</v>
      </c>
      <c r="GR23" s="1223"/>
      <c r="GS23" s="133" t="s">
        <v>1330</v>
      </c>
      <c r="GT23" s="1220" t="s">
        <v>1366</v>
      </c>
      <c r="GU23" s="1223"/>
      <c r="GV23" s="133" t="s">
        <v>1229</v>
      </c>
      <c r="GW23" s="122"/>
      <c r="HA23" s="930"/>
      <c r="HD23" s="109" t="s">
        <v>1232</v>
      </c>
      <c r="HE23" s="1220" t="s">
        <v>1219</v>
      </c>
      <c r="HF23" s="1223"/>
      <c r="HG23" s="133" t="s">
        <v>1330</v>
      </c>
      <c r="HH23" s="1220" t="s">
        <v>1366</v>
      </c>
      <c r="HI23" s="1223"/>
      <c r="HJ23" s="133" t="s">
        <v>1229</v>
      </c>
      <c r="HK23" s="122"/>
      <c r="HO23" s="930"/>
      <c r="HR23" s="109" t="s">
        <v>1232</v>
      </c>
      <c r="HS23" s="1220" t="s">
        <v>1219</v>
      </c>
      <c r="HT23" s="1223"/>
      <c r="HU23" s="133" t="s">
        <v>1330</v>
      </c>
      <c r="HV23" s="1220" t="s">
        <v>1366</v>
      </c>
      <c r="HW23" s="1223"/>
      <c r="HX23" s="133" t="s">
        <v>1229</v>
      </c>
      <c r="HY23" s="122"/>
      <c r="IC23" s="930"/>
      <c r="IF23" s="109" t="s">
        <v>1232</v>
      </c>
      <c r="IG23" s="1220" t="s">
        <v>1219</v>
      </c>
      <c r="IH23" s="1223"/>
      <c r="II23" s="133" t="s">
        <v>1330</v>
      </c>
      <c r="IJ23" s="1220" t="s">
        <v>1366</v>
      </c>
      <c r="IK23" s="1223"/>
      <c r="IL23" s="133" t="s">
        <v>1229</v>
      </c>
      <c r="IM23" s="122"/>
      <c r="IQ23" s="930"/>
      <c r="IT23" s="109" t="s">
        <v>1232</v>
      </c>
      <c r="IU23" s="1220" t="s">
        <v>1219</v>
      </c>
      <c r="IV23" s="1223"/>
      <c r="IW23" s="133" t="s">
        <v>1330</v>
      </c>
      <c r="IX23" s="1220" t="s">
        <v>1366</v>
      </c>
      <c r="IY23" s="1223"/>
      <c r="IZ23" s="133" t="s">
        <v>1229</v>
      </c>
      <c r="JA23" s="122"/>
      <c r="JE23" s="930"/>
      <c r="JH23" s="109" t="s">
        <v>1232</v>
      </c>
      <c r="JI23" s="1220" t="s">
        <v>1219</v>
      </c>
      <c r="JJ23" s="1223"/>
      <c r="JK23" s="133" t="s">
        <v>1330</v>
      </c>
      <c r="JL23" s="1220" t="s">
        <v>1366</v>
      </c>
      <c r="JM23" s="1223"/>
      <c r="JN23" s="133" t="s">
        <v>1229</v>
      </c>
      <c r="JO23" s="122"/>
      <c r="JS23" s="930"/>
      <c r="JV23" s="109" t="s">
        <v>1232</v>
      </c>
      <c r="JW23" s="1220" t="s">
        <v>1219</v>
      </c>
      <c r="JX23" s="1223"/>
      <c r="JY23" s="133" t="s">
        <v>1330</v>
      </c>
      <c r="JZ23" s="1220" t="s">
        <v>1366</v>
      </c>
      <c r="KA23" s="1223"/>
      <c r="KB23" s="133" t="s">
        <v>1229</v>
      </c>
      <c r="KC23" s="122"/>
      <c r="KG23" s="930"/>
      <c r="KJ23" s="109" t="s">
        <v>1232</v>
      </c>
      <c r="KK23" s="1220" t="s">
        <v>1219</v>
      </c>
      <c r="KL23" s="1223"/>
      <c r="KM23" s="133" t="s">
        <v>1330</v>
      </c>
      <c r="KN23" s="1220" t="s">
        <v>1366</v>
      </c>
      <c r="KO23" s="1223"/>
      <c r="KP23" s="133" t="s">
        <v>1229</v>
      </c>
      <c r="KQ23" s="122"/>
      <c r="KU23" s="930"/>
      <c r="KX23" s="109" t="s">
        <v>1232</v>
      </c>
      <c r="KY23" s="1220" t="s">
        <v>1219</v>
      </c>
      <c r="KZ23" s="1223"/>
      <c r="LA23" s="133" t="s">
        <v>1330</v>
      </c>
      <c r="LB23" s="1220" t="s">
        <v>1366</v>
      </c>
      <c r="LC23" s="1223"/>
      <c r="LD23" s="133" t="s">
        <v>1229</v>
      </c>
      <c r="LE23" s="122"/>
      <c r="LI23" s="930"/>
      <c r="LL23" s="109" t="s">
        <v>1232</v>
      </c>
      <c r="LM23" s="1220" t="s">
        <v>1219</v>
      </c>
      <c r="LN23" s="1223"/>
      <c r="LO23" s="133" t="s">
        <v>1330</v>
      </c>
      <c r="LP23" s="1220" t="s">
        <v>1366</v>
      </c>
      <c r="LQ23" s="1223"/>
      <c r="LR23" s="133" t="s">
        <v>1229</v>
      </c>
      <c r="LS23" s="122"/>
      <c r="LW23" s="930"/>
      <c r="LZ23" s="109" t="s">
        <v>1232</v>
      </c>
      <c r="MA23" s="1220" t="s">
        <v>1219</v>
      </c>
      <c r="MB23" s="1223"/>
      <c r="MC23" s="133" t="s">
        <v>1330</v>
      </c>
      <c r="MD23" s="1220" t="s">
        <v>1366</v>
      </c>
      <c r="ME23" s="1223"/>
      <c r="MF23" s="133" t="s">
        <v>1229</v>
      </c>
      <c r="MG23" s="122"/>
      <c r="MK23" s="930"/>
      <c r="MN23" s="109" t="s">
        <v>1232</v>
      </c>
      <c r="MO23" s="1220" t="s">
        <v>1219</v>
      </c>
      <c r="MP23" s="1223"/>
      <c r="MQ23" s="133" t="s">
        <v>1330</v>
      </c>
      <c r="MR23" s="1220" t="s">
        <v>1366</v>
      </c>
      <c r="MS23" s="1223"/>
      <c r="MT23" s="133" t="s">
        <v>1229</v>
      </c>
      <c r="MU23" s="122"/>
      <c r="MY23" s="930"/>
      <c r="NB23" s="109" t="s">
        <v>1232</v>
      </c>
      <c r="NC23" s="1220" t="s">
        <v>1219</v>
      </c>
      <c r="ND23" s="1223"/>
      <c r="NE23" s="133" t="s">
        <v>1330</v>
      </c>
      <c r="NF23" s="1220" t="s">
        <v>1366</v>
      </c>
      <c r="NG23" s="1223"/>
      <c r="NH23" s="133" t="s">
        <v>1229</v>
      </c>
      <c r="NI23" s="122"/>
      <c r="NM23" s="930"/>
      <c r="NP23" s="109" t="s">
        <v>1232</v>
      </c>
      <c r="NQ23" s="1220" t="s">
        <v>1219</v>
      </c>
      <c r="NR23" s="1223"/>
      <c r="NS23" s="133" t="s">
        <v>1330</v>
      </c>
      <c r="NT23" s="1220" t="s">
        <v>1366</v>
      </c>
      <c r="NU23" s="1223"/>
      <c r="NV23" s="133" t="s">
        <v>1229</v>
      </c>
      <c r="NW23" s="122"/>
      <c r="OA23" s="930"/>
      <c r="OD23" s="109" t="s">
        <v>1232</v>
      </c>
      <c r="OE23" s="1220" t="s">
        <v>1219</v>
      </c>
      <c r="OF23" s="1223"/>
      <c r="OG23" s="133" t="s">
        <v>1330</v>
      </c>
      <c r="OH23" s="1220" t="s">
        <v>1366</v>
      </c>
      <c r="OI23" s="1223"/>
      <c r="OJ23" s="133" t="s">
        <v>1229</v>
      </c>
      <c r="OK23" s="122"/>
      <c r="OO23" s="930"/>
      <c r="OR23" s="109" t="s">
        <v>1232</v>
      </c>
      <c r="OS23" s="1220" t="s">
        <v>1219</v>
      </c>
      <c r="OT23" s="1223"/>
      <c r="OU23" s="133" t="s">
        <v>1330</v>
      </c>
      <c r="OV23" s="1220" t="s">
        <v>1366</v>
      </c>
      <c r="OW23" s="1223"/>
      <c r="OX23" s="133" t="s">
        <v>1229</v>
      </c>
      <c r="OY23" s="122"/>
      <c r="PC23" s="930"/>
      <c r="PF23" s="109" t="s">
        <v>1232</v>
      </c>
      <c r="PG23" s="1220" t="s">
        <v>1219</v>
      </c>
      <c r="PH23" s="1223"/>
      <c r="PI23" s="133" t="s">
        <v>1330</v>
      </c>
      <c r="PJ23" s="1220" t="s">
        <v>1366</v>
      </c>
      <c r="PK23" s="1223"/>
      <c r="PL23" s="133" t="s">
        <v>1229</v>
      </c>
      <c r="PM23" s="122"/>
      <c r="PQ23" s="930"/>
      <c r="PT23" s="109" t="s">
        <v>1232</v>
      </c>
      <c r="PU23" s="1220" t="s">
        <v>1219</v>
      </c>
      <c r="PV23" s="1223"/>
      <c r="PW23" s="133" t="s">
        <v>1330</v>
      </c>
      <c r="PX23" s="1220" t="s">
        <v>1366</v>
      </c>
      <c r="PY23" s="1223"/>
      <c r="PZ23" s="133" t="s">
        <v>1229</v>
      </c>
      <c r="QA23" s="122"/>
      <c r="QE23" s="930"/>
      <c r="QH23" s="109" t="s">
        <v>1232</v>
      </c>
      <c r="QI23" s="1220" t="s">
        <v>1219</v>
      </c>
      <c r="QJ23" s="1223"/>
      <c r="QK23" s="133" t="s">
        <v>1330</v>
      </c>
      <c r="QL23" s="1220" t="s">
        <v>1366</v>
      </c>
      <c r="QM23" s="1223"/>
      <c r="QN23" s="133" t="s">
        <v>1229</v>
      </c>
      <c r="QO23" s="122"/>
      <c r="QS23" s="930"/>
      <c r="QV23" s="109" t="s">
        <v>1232</v>
      </c>
      <c r="QW23" s="1220" t="s">
        <v>1219</v>
      </c>
      <c r="QX23" s="1223"/>
      <c r="QY23" s="133" t="s">
        <v>1330</v>
      </c>
      <c r="QZ23" s="1220" t="s">
        <v>1366</v>
      </c>
      <c r="RA23" s="1223"/>
      <c r="RB23" s="133" t="s">
        <v>1229</v>
      </c>
      <c r="RC23" s="122"/>
      <c r="RG23" s="930"/>
      <c r="RJ23" s="109" t="s">
        <v>1232</v>
      </c>
      <c r="RK23" s="1220" t="s">
        <v>1219</v>
      </c>
      <c r="RL23" s="1223"/>
      <c r="RM23" s="133" t="s">
        <v>1330</v>
      </c>
      <c r="RN23" s="1220" t="s">
        <v>1366</v>
      </c>
      <c r="RO23" s="1223"/>
      <c r="RP23" s="133" t="s">
        <v>1229</v>
      </c>
      <c r="RQ23" s="122"/>
      <c r="RU23" s="930"/>
      <c r="RX23" s="109" t="s">
        <v>1232</v>
      </c>
      <c r="RY23" s="1220" t="s">
        <v>1219</v>
      </c>
      <c r="RZ23" s="1223"/>
      <c r="SA23" s="133" t="s">
        <v>1330</v>
      </c>
      <c r="SB23" s="1220" t="s">
        <v>1366</v>
      </c>
      <c r="SC23" s="1223"/>
      <c r="SD23" s="133" t="s">
        <v>1229</v>
      </c>
      <c r="SE23" s="122"/>
      <c r="SI23" s="930"/>
      <c r="SL23" s="109" t="s">
        <v>1232</v>
      </c>
      <c r="SM23" s="1220" t="s">
        <v>1219</v>
      </c>
      <c r="SN23" s="1223"/>
      <c r="SO23" s="133" t="s">
        <v>1330</v>
      </c>
      <c r="SP23" s="1220" t="s">
        <v>1366</v>
      </c>
      <c r="SQ23" s="1223"/>
      <c r="SR23" s="133" t="s">
        <v>1229</v>
      </c>
      <c r="SS23" s="122"/>
      <c r="SW23" s="930"/>
      <c r="SZ23" s="109" t="s">
        <v>1232</v>
      </c>
      <c r="TA23" s="1220" t="s">
        <v>1219</v>
      </c>
      <c r="TB23" s="1223"/>
      <c r="TC23" s="133" t="s">
        <v>1330</v>
      </c>
      <c r="TD23" s="1220" t="s">
        <v>1366</v>
      </c>
      <c r="TE23" s="1223"/>
      <c r="TF23" s="133" t="s">
        <v>1229</v>
      </c>
      <c r="TG23" s="122"/>
      <c r="TK23" s="930"/>
    </row>
    <row r="24" spans="1:531" ht="18" customHeight="1" collapsed="1" thickBot="1">
      <c r="A24" s="105">
        <v>24</v>
      </c>
      <c r="B24" s="1213" t="s">
        <v>1322</v>
      </c>
      <c r="C24" s="1215" t="s">
        <v>1329</v>
      </c>
      <c r="D24" s="1216"/>
      <c r="E24" s="452">
        <f>+D19</f>
        <v>156</v>
      </c>
      <c r="F24" s="449"/>
      <c r="G24" s="450"/>
      <c r="H24" s="451">
        <f>+VLOOKUP(B13,'Cost x Depart'!$A$2:$AL$1275,A24,0)</f>
        <v>175525450.08541101</v>
      </c>
      <c r="I24" s="123"/>
      <c r="M24" s="936">
        <f>+H24/H65</f>
        <v>6.0128582194482173E-2</v>
      </c>
      <c r="O24" s="105">
        <v>24</v>
      </c>
      <c r="P24" s="1213" t="s">
        <v>1322</v>
      </c>
      <c r="Q24" s="1215" t="s">
        <v>1329</v>
      </c>
      <c r="R24" s="1216"/>
      <c r="S24" s="452">
        <f t="shared" ref="S24" si="448">+R19</f>
        <v>36</v>
      </c>
      <c r="T24" s="449"/>
      <c r="U24" s="450"/>
      <c r="V24" s="451">
        <f>+VLOOKUP(P13,'Cost x Depart'!$A$2:$AL$1275,O24,0)</f>
        <v>40505873.096633375</v>
      </c>
      <c r="W24" s="123"/>
      <c r="AA24" s="936">
        <f t="shared" ref="AA24" si="449">+V24/V65</f>
        <v>5.9014685258273386E-2</v>
      </c>
      <c r="AC24" s="105">
        <v>20</v>
      </c>
      <c r="AD24" s="1213" t="s">
        <v>1322</v>
      </c>
      <c r="AE24" s="1215" t="s">
        <v>1329</v>
      </c>
      <c r="AF24" s="1216"/>
      <c r="AG24" s="452">
        <f t="shared" ref="AG24" si="450">+AF19</f>
        <v>192</v>
      </c>
      <c r="AH24" s="449"/>
      <c r="AI24" s="450"/>
      <c r="AJ24" s="451">
        <f t="shared" ref="AJ24:AJ25" si="451">+V24+H24</f>
        <v>216031323.18204439</v>
      </c>
      <c r="AK24" s="123"/>
      <c r="AO24" s="936">
        <f t="shared" ref="AO24" si="452">+AJ24/AJ65</f>
        <v>5.9916534831973497E-2</v>
      </c>
      <c r="AQ24" s="105">
        <v>24</v>
      </c>
      <c r="AR24" s="1213" t="s">
        <v>1322</v>
      </c>
      <c r="AS24" s="1215" t="s">
        <v>1329</v>
      </c>
      <c r="AT24" s="1216"/>
      <c r="AU24" s="452">
        <f t="shared" ref="AU24" si="453">+AT19</f>
        <v>56</v>
      </c>
      <c r="AV24" s="449"/>
      <c r="AW24" s="450"/>
      <c r="AX24" s="451">
        <f>+VLOOKUP(AR13,'Cost x Depart'!$A$2:$AL$1275,AQ24,0)</f>
        <v>43592553.471068628</v>
      </c>
      <c r="AY24" s="123"/>
      <c r="BC24" s="936">
        <f t="shared" ref="BC24" si="454">+AX24/AX65</f>
        <v>4.1875835080533635E-2</v>
      </c>
      <c r="BE24" s="105">
        <v>24</v>
      </c>
      <c r="BF24" s="1213" t="s">
        <v>1322</v>
      </c>
      <c r="BG24" s="1215" t="s">
        <v>1329</v>
      </c>
      <c r="BH24" s="1216"/>
      <c r="BI24" s="452">
        <f t="shared" ref="BI24" si="455">+BH19</f>
        <v>81</v>
      </c>
      <c r="BJ24" s="449"/>
      <c r="BK24" s="450"/>
      <c r="BL24" s="451">
        <f>+VLOOKUP(BF13,'Cost x Depart'!$A$2:$AL$1275,BE24,0)</f>
        <v>63053514.842081405</v>
      </c>
      <c r="BM24" s="123"/>
      <c r="BQ24" s="936">
        <f t="shared" ref="BQ24" si="456">+BL24/BL65</f>
        <v>4.2220412140776167E-2</v>
      </c>
      <c r="BS24" s="105">
        <v>24</v>
      </c>
      <c r="BT24" s="1213" t="s">
        <v>1322</v>
      </c>
      <c r="BU24" s="1215" t="s">
        <v>1329</v>
      </c>
      <c r="BV24" s="1216"/>
      <c r="BW24" s="452">
        <f t="shared" ref="BW24" si="457">+BV19</f>
        <v>70</v>
      </c>
      <c r="BX24" s="449"/>
      <c r="BY24" s="450"/>
      <c r="BZ24" s="451">
        <f>+VLOOKUP(BT13,'Cost x Depart'!$A$2:$AL$1275,BS24,0)</f>
        <v>39814115.813475989</v>
      </c>
      <c r="CA24" s="123"/>
      <c r="CE24" s="936">
        <f t="shared" ref="CE24" si="458">+BZ24/BZ65</f>
        <v>3.1161694975306617E-2</v>
      </c>
      <c r="CG24" s="105">
        <v>24</v>
      </c>
      <c r="CH24" s="1213" t="s">
        <v>1322</v>
      </c>
      <c r="CI24" s="1215" t="s">
        <v>1329</v>
      </c>
      <c r="CJ24" s="1216"/>
      <c r="CK24" s="452">
        <f t="shared" ref="CK24" si="459">+CJ19</f>
        <v>71</v>
      </c>
      <c r="CL24" s="449"/>
      <c r="CM24" s="450"/>
      <c r="CN24" s="451">
        <f>+VLOOKUP(CH13,'Cost x Depart'!$A$2:$AL$1275,CG24,0)</f>
        <v>24218811.664109707</v>
      </c>
      <c r="CO24" s="123"/>
      <c r="CS24" s="936">
        <f t="shared" ref="CS24" si="460">+CN24/CN65</f>
        <v>1.8963489628195607E-2</v>
      </c>
      <c r="CU24" s="105">
        <v>24</v>
      </c>
      <c r="CV24" s="1213" t="s">
        <v>1322</v>
      </c>
      <c r="CW24" s="1215" t="s">
        <v>1329</v>
      </c>
      <c r="CX24" s="1216"/>
      <c r="CY24" s="452">
        <f t="shared" ref="CY24" si="461">+CX19</f>
        <v>38</v>
      </c>
      <c r="CZ24" s="449"/>
      <c r="DA24" s="450"/>
      <c r="DB24" s="451">
        <f>+VLOOKUP(CV13,'Cost x Depart'!$A$2:$AL$1275,CU24,0)</f>
        <v>22683085.883277725</v>
      </c>
      <c r="DC24" s="123"/>
      <c r="DG24" s="936">
        <f t="shared" ref="DG24" si="462">+DB24/DB65</f>
        <v>3.2381058789864491E-2</v>
      </c>
      <c r="DI24" s="105">
        <v>24</v>
      </c>
      <c r="DJ24" s="1213" t="s">
        <v>1322</v>
      </c>
      <c r="DK24" s="1215" t="s">
        <v>1329</v>
      </c>
      <c r="DL24" s="1216"/>
      <c r="DM24" s="452">
        <f t="shared" ref="DM24" si="463">+DL19</f>
        <v>76</v>
      </c>
      <c r="DN24" s="449"/>
      <c r="DO24" s="450"/>
      <c r="DP24" s="451">
        <f>+VLOOKUP(DJ13,'Cost x Depart'!$A$2:$AL$1275,DI24,0)</f>
        <v>77767239.94101961</v>
      </c>
      <c r="DQ24" s="123"/>
      <c r="DU24" s="936">
        <f t="shared" ref="DU24" si="464">+DP24/DP65</f>
        <v>5.4607269399206466E-2</v>
      </c>
      <c r="DW24" s="105">
        <v>24</v>
      </c>
      <c r="DX24" s="1213" t="s">
        <v>1322</v>
      </c>
      <c r="DY24" s="1215" t="s">
        <v>1329</v>
      </c>
      <c r="DZ24" s="1216"/>
      <c r="EA24" s="452">
        <f t="shared" ref="EA24" si="465">+DZ19</f>
        <v>55</v>
      </c>
      <c r="EB24" s="449"/>
      <c r="EC24" s="450"/>
      <c r="ED24" s="451">
        <f>+VLOOKUP(DX13,'Cost x Depart'!$A$2:$AL$1275,DW24,0)</f>
        <v>42814115.01622811</v>
      </c>
      <c r="EE24" s="123"/>
      <c r="EI24" s="936">
        <f t="shared" ref="EI24" si="466">+ED24/ED65</f>
        <v>4.1855711699772237E-2</v>
      </c>
      <c r="EK24" s="105">
        <v>24</v>
      </c>
      <c r="EL24" s="1213" t="s">
        <v>1322</v>
      </c>
      <c r="EM24" s="1215" t="s">
        <v>1329</v>
      </c>
      <c r="EN24" s="1216"/>
      <c r="EO24" s="452">
        <f t="shared" ref="EO24" si="467">+EN19</f>
        <v>79</v>
      </c>
      <c r="EP24" s="449"/>
      <c r="EQ24" s="450"/>
      <c r="ER24" s="451">
        <f>+VLOOKUP(EL13,'Cost x Depart'!$A$2:$AL$1275,EK24,0)</f>
        <v>61496637.932400383</v>
      </c>
      <c r="ES24" s="123"/>
      <c r="EW24" s="936">
        <f t="shared" ref="EW24" si="468">+ER24/ER65</f>
        <v>4.2200719966811108E-2</v>
      </c>
      <c r="EY24" s="105">
        <v>24</v>
      </c>
      <c r="EZ24" s="1213" t="s">
        <v>1322</v>
      </c>
      <c r="FA24" s="1215" t="s">
        <v>1329</v>
      </c>
      <c r="FB24" s="1216"/>
      <c r="FC24" s="452">
        <f t="shared" ref="FC24" si="469">+FB19</f>
        <v>85</v>
      </c>
      <c r="FD24" s="449"/>
      <c r="FE24" s="450"/>
      <c r="FF24" s="451">
        <f>+VLOOKUP(EZ13,'Cost x Depart'!$A$2:$AL$1275,EY24,0)</f>
        <v>67697072.126197726</v>
      </c>
      <c r="FG24" s="123"/>
      <c r="FK24" s="936">
        <f t="shared" ref="FK24" si="470">+FF24/FF65</f>
        <v>4.3186055011718898E-2</v>
      </c>
      <c r="FM24" s="105">
        <v>24</v>
      </c>
      <c r="FN24" s="1213" t="s">
        <v>1322</v>
      </c>
      <c r="FO24" s="1215" t="s">
        <v>1329</v>
      </c>
      <c r="FP24" s="1216"/>
      <c r="FQ24" s="452">
        <f t="shared" ref="FQ24" si="471">+FP19</f>
        <v>61.5</v>
      </c>
      <c r="FR24" s="449"/>
      <c r="FS24" s="450"/>
      <c r="FT24" s="451">
        <f>+VLOOKUP(FN13,'Cost x Depart'!$A$2:$AL$1275,FM24,0)</f>
        <v>47873964.972691439</v>
      </c>
      <c r="FU24" s="123"/>
      <c r="FY24" s="936">
        <f t="shared" ref="FY24" si="472">+FT24/FT65</f>
        <v>4.1975098263810212E-2</v>
      </c>
      <c r="GA24" s="105">
        <v>24</v>
      </c>
      <c r="GB24" s="1213" t="s">
        <v>1322</v>
      </c>
      <c r="GC24" s="1215" t="s">
        <v>1329</v>
      </c>
      <c r="GD24" s="1216"/>
      <c r="GE24" s="452">
        <f t="shared" ref="GE24" si="473">+GD19</f>
        <v>48.5</v>
      </c>
      <c r="GF24" s="449"/>
      <c r="GG24" s="450"/>
      <c r="GH24" s="451">
        <f>+VLOOKUP(GB13,'Cost x Depart'!$A$2:$AL$1275,GA24,0)</f>
        <v>23161370.591451406</v>
      </c>
      <c r="GI24" s="123"/>
      <c r="GM24" s="936">
        <f t="shared" ref="GM24" si="474">+GH24/GH65</f>
        <v>2.6266760348201842E-2</v>
      </c>
      <c r="GO24" s="105">
        <v>24</v>
      </c>
      <c r="GP24" s="1213" t="s">
        <v>1322</v>
      </c>
      <c r="GQ24" s="1215" t="s">
        <v>1329</v>
      </c>
      <c r="GR24" s="1216"/>
      <c r="GS24" s="452">
        <f t="shared" ref="GS24" si="475">+GR19</f>
        <v>30</v>
      </c>
      <c r="GT24" s="449"/>
      <c r="GU24" s="450"/>
      <c r="GV24" s="451">
        <f>+VLOOKUP(GP13,'Cost x Depart'!$A$2:$AL$1275,GO24,0)</f>
        <v>12789895.332025357</v>
      </c>
      <c r="GW24" s="123"/>
      <c r="HA24" s="936">
        <f t="shared" ref="HA24" si="476">+GV24/GV65</f>
        <v>2.3189112181309039E-2</v>
      </c>
      <c r="HC24" s="105">
        <v>24</v>
      </c>
      <c r="HD24" s="1213" t="s">
        <v>1322</v>
      </c>
      <c r="HE24" s="1215" t="s">
        <v>1329</v>
      </c>
      <c r="HF24" s="1216"/>
      <c r="HG24" s="452">
        <f t="shared" ref="HG24" si="477">+HF19</f>
        <v>96</v>
      </c>
      <c r="HH24" s="449"/>
      <c r="HI24" s="450"/>
      <c r="HJ24" s="451">
        <f>+VLOOKUP(HD13,'Cost x Depart'!$A$2:$AL$1275,HC24,0)</f>
        <v>74730091.664689079</v>
      </c>
      <c r="HK24" s="123"/>
      <c r="HO24" s="936">
        <f t="shared" ref="HO24" si="478">+HJ24/HJ65</f>
        <v>4.2177896973603815E-2</v>
      </c>
      <c r="HQ24" s="105">
        <v>24</v>
      </c>
      <c r="HR24" s="1213" t="s">
        <v>1322</v>
      </c>
      <c r="HS24" s="1215" t="s">
        <v>1329</v>
      </c>
      <c r="HT24" s="1216"/>
      <c r="HU24" s="452">
        <f t="shared" ref="HU24" si="479">+HT19</f>
        <v>34</v>
      </c>
      <c r="HV24" s="449"/>
      <c r="HW24" s="450"/>
      <c r="HX24" s="451">
        <f>+VLOOKUP(HR13,'Cost x Depart'!$A$2:$AL$1275,HQ24,0)</f>
        <v>14495214.709628738</v>
      </c>
      <c r="HY24" s="123"/>
      <c r="IC24" s="936">
        <f t="shared" ref="IC24" si="480">+HX24/HX65</f>
        <v>2.3291595762544661E-2</v>
      </c>
      <c r="IE24" s="105">
        <v>24</v>
      </c>
      <c r="IF24" s="1213" t="s">
        <v>1322</v>
      </c>
      <c r="IG24" s="1215" t="s">
        <v>1329</v>
      </c>
      <c r="IH24" s="1216"/>
      <c r="II24" s="452">
        <f t="shared" ref="II24" si="481">+IH19</f>
        <v>22</v>
      </c>
      <c r="IJ24" s="449"/>
      <c r="IK24" s="450"/>
      <c r="IL24" s="451">
        <f>+VLOOKUP(IF13,'Cost x Depart'!$A$2:$AL$1275,IE24,0)</f>
        <v>16959821.156314768</v>
      </c>
      <c r="IM24" s="123"/>
      <c r="IQ24" s="936">
        <f t="shared" ref="IQ24" si="482">+IL24/IL65</f>
        <v>4.051512995112759E-2</v>
      </c>
      <c r="IS24" s="105">
        <v>24</v>
      </c>
      <c r="IT24" s="1213" t="s">
        <v>1322</v>
      </c>
      <c r="IU24" s="1215" t="s">
        <v>1329</v>
      </c>
      <c r="IV24" s="1216"/>
      <c r="IW24" s="452">
        <f t="shared" ref="IW24" si="483">+IV19</f>
        <v>142</v>
      </c>
      <c r="IX24" s="449"/>
      <c r="IY24" s="450"/>
      <c r="IZ24" s="451">
        <f>+VLOOKUP(IT13,'Cost x Depart'!$A$2:$AL$1275,IS24,0)</f>
        <v>109467936.5543952</v>
      </c>
      <c r="JA24" s="123"/>
      <c r="JE24" s="936">
        <f t="shared" ref="JE24" si="484">+IZ24/IZ65</f>
        <v>4.2053595700876467E-2</v>
      </c>
      <c r="JG24" s="105">
        <v>20</v>
      </c>
      <c r="JH24" s="1213" t="s">
        <v>1322</v>
      </c>
      <c r="JI24" s="1215" t="s">
        <v>1329</v>
      </c>
      <c r="JJ24" s="1216"/>
      <c r="JK24" s="452">
        <f t="shared" ref="JK24" si="485">+JJ19</f>
        <v>164</v>
      </c>
      <c r="JL24" s="449"/>
      <c r="JM24" s="450"/>
      <c r="JN24" s="451">
        <f t="shared" ref="JN24:JN25" si="486">+IZ24+IL24</f>
        <v>126427757.71070996</v>
      </c>
      <c r="JO24" s="123"/>
      <c r="JS24" s="936">
        <f t="shared" ref="JS24" si="487">+JN24/JN65</f>
        <v>4.1840465040002606E-2</v>
      </c>
      <c r="JU24" s="105">
        <v>24</v>
      </c>
      <c r="JV24" s="1213" t="s">
        <v>1322</v>
      </c>
      <c r="JW24" s="1215" t="s">
        <v>1329</v>
      </c>
      <c r="JX24" s="1216"/>
      <c r="JY24" s="452">
        <f t="shared" ref="JY24" si="488">+JX19</f>
        <v>47</v>
      </c>
      <c r="JZ24" s="449"/>
      <c r="KA24" s="450"/>
      <c r="KB24" s="451">
        <f>+VLOOKUP(JV13,'Cost x Depart'!$A$2:$AL$1275,JU24,0)</f>
        <v>41680029.943940483</v>
      </c>
      <c r="KC24" s="123"/>
      <c r="KG24" s="936">
        <f t="shared" ref="KG24" si="489">+KB24/KB65</f>
        <v>4.7523998524734587E-2</v>
      </c>
      <c r="KI24" s="105">
        <v>24</v>
      </c>
      <c r="KJ24" s="1213" t="s">
        <v>1322</v>
      </c>
      <c r="KK24" s="1215" t="s">
        <v>1329</v>
      </c>
      <c r="KL24" s="1216"/>
      <c r="KM24" s="452">
        <f t="shared" ref="KM24" si="490">+KL19</f>
        <v>28</v>
      </c>
      <c r="KN24" s="449"/>
      <c r="KO24" s="450"/>
      <c r="KP24" s="451">
        <f>+VLOOKUP(KJ13,'Cost x Depart'!$A$2:$AL$1275,KI24,0)</f>
        <v>21796276.735534314</v>
      </c>
      <c r="KQ24" s="123"/>
      <c r="KU24" s="936">
        <f t="shared" ref="KU24" si="491">+KP24/KP65</f>
        <v>4.1329400701272993E-2</v>
      </c>
      <c r="KW24" s="105">
        <v>24</v>
      </c>
      <c r="KX24" s="1213" t="s">
        <v>1322</v>
      </c>
      <c r="KY24" s="1215" t="s">
        <v>1329</v>
      </c>
      <c r="KZ24" s="1216"/>
      <c r="LA24" s="452">
        <f t="shared" ref="LA24" si="492">+KZ19</f>
        <v>23</v>
      </c>
      <c r="LB24" s="449"/>
      <c r="LC24" s="450"/>
      <c r="LD24" s="451">
        <f>+VLOOKUP(KX13,'Cost x Depart'!$A$2:$AL$1275,KW24,0)</f>
        <v>10983742.754708908</v>
      </c>
      <c r="LE24" s="123"/>
      <c r="LI24" s="936">
        <f t="shared" ref="LI24" si="493">+LD24/LD65</f>
        <v>2.5602636853671375E-2</v>
      </c>
      <c r="LK24" s="105">
        <v>24</v>
      </c>
      <c r="LL24" s="1213" t="s">
        <v>1322</v>
      </c>
      <c r="LM24" s="1215" t="s">
        <v>1329</v>
      </c>
      <c r="LN24" s="1216"/>
      <c r="LO24" s="452">
        <f t="shared" ref="LO24" si="494">+LN19</f>
        <v>60.5</v>
      </c>
      <c r="LP24" s="449"/>
      <c r="LQ24" s="450"/>
      <c r="LR24" s="451">
        <f>+VLOOKUP(LL13,'Cost x Depart'!$A$2:$AL$1275,LK24,0)</f>
        <v>47095526.517850928</v>
      </c>
      <c r="LS24" s="123"/>
      <c r="LW24" s="936">
        <f t="shared" ref="LW24" si="495">+LR24/LR65</f>
        <v>4.1958359893012838E-2</v>
      </c>
      <c r="LY24" s="105">
        <v>24</v>
      </c>
      <c r="LZ24" s="1213" t="s">
        <v>1322</v>
      </c>
      <c r="MA24" s="1215" t="s">
        <v>1329</v>
      </c>
      <c r="MB24" s="1216"/>
      <c r="MC24" s="452">
        <f t="shared" ref="MC24" si="496">+MB19</f>
        <v>60</v>
      </c>
      <c r="MD24" s="449"/>
      <c r="ME24" s="450"/>
      <c r="MF24" s="451">
        <f>+VLOOKUP(LZ13,'Cost x Depart'!$A$2:$AL$1275,LY24,0)</f>
        <v>46706307.290430672</v>
      </c>
      <c r="MG24" s="123"/>
      <c r="MK24" s="936">
        <f t="shared" ref="MK24" si="497">+MF24/MF65</f>
        <v>4.1949786650891926E-2</v>
      </c>
      <c r="MM24" s="105">
        <v>24</v>
      </c>
      <c r="MN24" s="1213" t="s">
        <v>1322</v>
      </c>
      <c r="MO24" s="1215" t="s">
        <v>1329</v>
      </c>
      <c r="MP24" s="1216"/>
      <c r="MQ24" s="452">
        <f t="shared" ref="MQ24" si="498">+MP19</f>
        <v>63</v>
      </c>
      <c r="MR24" s="449"/>
      <c r="MS24" s="450"/>
      <c r="MT24" s="451">
        <f>+VLOOKUP(MN13,'Cost x Depart'!$A$2:$AL$1275,MM24,0)</f>
        <v>24101672.866883922</v>
      </c>
      <c r="MU24" s="123"/>
      <c r="MY24" s="936">
        <f t="shared" ref="MY24" si="499">+MT24/MT65</f>
        <v>2.1154859702750606E-2</v>
      </c>
      <c r="NA24" s="105">
        <v>24</v>
      </c>
      <c r="NB24" s="1213" t="s">
        <v>1322</v>
      </c>
      <c r="NC24" s="1215" t="s">
        <v>1329</v>
      </c>
      <c r="ND24" s="1216"/>
      <c r="NE24" s="452">
        <f t="shared" ref="NE24" si="500">+ND19</f>
        <v>117.5</v>
      </c>
      <c r="NF24" s="449"/>
      <c r="NG24" s="450"/>
      <c r="NH24" s="451">
        <f>+VLOOKUP(NB13,'Cost x Depart'!$A$2:$AL$1275,NA24,0)</f>
        <v>108610277.50786565</v>
      </c>
      <c r="NI24" s="123"/>
      <c r="NM24" s="936">
        <f t="shared" ref="NM24" si="501">+NH24/NH65</f>
        <v>4.9812394267103162E-2</v>
      </c>
      <c r="NO24" s="105">
        <v>24</v>
      </c>
      <c r="NP24" s="1213" t="s">
        <v>1322</v>
      </c>
      <c r="NQ24" s="1215" t="s">
        <v>1329</v>
      </c>
      <c r="NR24" s="1216"/>
      <c r="NS24" s="452">
        <f t="shared" ref="NS24" si="502">+NR19</f>
        <v>19</v>
      </c>
      <c r="NT24" s="449"/>
      <c r="NU24" s="450"/>
      <c r="NV24" s="451">
        <f>+VLOOKUP(NP13,'Cost x Depart'!$A$2:$AL$1275,NO24,0)</f>
        <v>5545825.9842184624</v>
      </c>
      <c r="NW24" s="123"/>
      <c r="OA24" s="936">
        <f t="shared" ref="OA24" si="503">+NV24/NV65</f>
        <v>1.5977958787293946E-2</v>
      </c>
      <c r="OC24" s="105">
        <v>24</v>
      </c>
      <c r="OD24" s="1213" t="s">
        <v>1322</v>
      </c>
      <c r="OE24" s="1215" t="s">
        <v>1329</v>
      </c>
      <c r="OF24" s="1216"/>
      <c r="OG24" s="452">
        <f t="shared" ref="OG24" si="504">+OF19</f>
        <v>24</v>
      </c>
      <c r="OH24" s="449"/>
      <c r="OI24" s="450"/>
      <c r="OJ24" s="451">
        <f>+VLOOKUP(OD13,'Cost x Depart'!$A$2:$AL$1275,OC24,0)</f>
        <v>16373281.125031916</v>
      </c>
      <c r="OK24" s="123"/>
      <c r="OO24" s="936">
        <f t="shared" ref="OO24" si="505">+OJ24/OJ65</f>
        <v>3.6195357051076918E-2</v>
      </c>
      <c r="OQ24" s="105">
        <v>24</v>
      </c>
      <c r="OR24" s="1213" t="s">
        <v>1322</v>
      </c>
      <c r="OS24" s="1215" t="s">
        <v>1329</v>
      </c>
      <c r="OT24" s="1216"/>
      <c r="OU24" s="452">
        <f t="shared" ref="OU24" si="506">+OT19</f>
        <v>31</v>
      </c>
      <c r="OV24" s="449"/>
      <c r="OW24" s="450"/>
      <c r="OX24" s="451">
        <f>+VLOOKUP(OR13,'Cost x Depart'!$A$2:$AL$1275,OQ24,0)</f>
        <v>15199970.322878771</v>
      </c>
      <c r="OY24" s="123"/>
      <c r="PC24" s="936">
        <f t="shared" ref="PC24" si="507">+OX24/OX65</f>
        <v>2.6596468199564575E-2</v>
      </c>
      <c r="PE24" s="105">
        <v>24</v>
      </c>
      <c r="PF24" s="1213" t="s">
        <v>1322</v>
      </c>
      <c r="PG24" s="1215" t="s">
        <v>1329</v>
      </c>
      <c r="PH24" s="1216"/>
      <c r="PI24" s="452">
        <f t="shared" ref="PI24" si="508">+PH19</f>
        <v>7.5</v>
      </c>
      <c r="PJ24" s="449"/>
      <c r="PK24" s="450"/>
      <c r="PL24" s="451">
        <f>+VLOOKUP(PF13,'Cost x Depart'!$A$2:$AL$1275,PE24,0)</f>
        <v>2189141.8358757086</v>
      </c>
      <c r="PM24" s="123"/>
      <c r="PQ24" s="936">
        <f t="shared" ref="PQ24" si="509">+PL24/PL65</f>
        <v>1.5063141392101961E-2</v>
      </c>
      <c r="PS24" s="105">
        <v>24</v>
      </c>
      <c r="PT24" s="1213" t="s">
        <v>1322</v>
      </c>
      <c r="PU24" s="1215" t="s">
        <v>1329</v>
      </c>
      <c r="PV24" s="1216"/>
      <c r="PW24" s="452">
        <f t="shared" ref="PW24" si="510">+PV19</f>
        <v>12</v>
      </c>
      <c r="PX24" s="449"/>
      <c r="PY24" s="450"/>
      <c r="PZ24" s="451">
        <f>+VLOOKUP(PT13,'Cost x Depart'!$A$2:$AL$1275,PS24,0)</f>
        <v>3502626.9374011336</v>
      </c>
      <c r="QA24" s="123"/>
      <c r="QE24" s="936">
        <f t="shared" ref="QE24" si="511">+PZ24/PZ65</f>
        <v>1.5617130710424892E-2</v>
      </c>
      <c r="QG24" s="105">
        <v>24</v>
      </c>
      <c r="QH24" s="1213" t="s">
        <v>1322</v>
      </c>
      <c r="QI24" s="1215" t="s">
        <v>1329</v>
      </c>
      <c r="QJ24" s="1216"/>
      <c r="QK24" s="452">
        <f t="shared" ref="QK24" si="512">+QJ19</f>
        <v>4</v>
      </c>
      <c r="QL24" s="449"/>
      <c r="QM24" s="450"/>
      <c r="QN24" s="451">
        <f>+VLOOKUP(QH13,'Cost x Depart'!$A$2:$AL$1275,QG24,0)</f>
        <v>1167542.3124670447</v>
      </c>
      <c r="QO24" s="123"/>
      <c r="QS24" s="936">
        <f t="shared" ref="QS24" si="513">+QN24/QN65</f>
        <v>1.3911662541967034E-2</v>
      </c>
      <c r="QU24" s="105">
        <v>24</v>
      </c>
      <c r="QV24" s="1213" t="s">
        <v>1322</v>
      </c>
      <c r="QW24" s="1215" t="s">
        <v>1329</v>
      </c>
      <c r="QX24" s="1216"/>
      <c r="QY24" s="452">
        <f t="shared" ref="QY24" si="514">+QX19</f>
        <v>10</v>
      </c>
      <c r="QZ24" s="449"/>
      <c r="RA24" s="450"/>
      <c r="RB24" s="451">
        <f>+VLOOKUP(QV13,'Cost x Depart'!$A$2:$AL$1275,QU24,0)</f>
        <v>2918855.7811676115</v>
      </c>
      <c r="RC24" s="123"/>
      <c r="RG24" s="936">
        <f t="shared" ref="RG24" si="515">+RB24/RB65</f>
        <v>1.5427994768537998E-2</v>
      </c>
      <c r="RI24" s="105">
        <v>24</v>
      </c>
      <c r="RJ24" s="1213" t="s">
        <v>1322</v>
      </c>
      <c r="RK24" s="1215" t="s">
        <v>1329</v>
      </c>
      <c r="RL24" s="1216"/>
      <c r="RM24" s="452">
        <f t="shared" ref="RM24" si="516">+RL19</f>
        <v>4</v>
      </c>
      <c r="RN24" s="449"/>
      <c r="RO24" s="450"/>
      <c r="RP24" s="451">
        <f>+VLOOKUP(RJ13,'Cost x Depart'!$A$2:$AL$1275,RI24,0)</f>
        <v>1364440.0937526594</v>
      </c>
      <c r="RQ24" s="123"/>
      <c r="RU24" s="936">
        <f t="shared" ref="RU24" si="517">+RP24/RP65</f>
        <v>1.6214205913861027E-2</v>
      </c>
      <c r="RW24" s="105">
        <v>24</v>
      </c>
      <c r="RX24" s="1213" t="s">
        <v>1322</v>
      </c>
      <c r="RY24" s="1215" t="s">
        <v>1329</v>
      </c>
      <c r="RZ24" s="1216"/>
      <c r="SA24" s="452">
        <f t="shared" ref="SA24" si="518">+RZ19</f>
        <v>6.5</v>
      </c>
      <c r="SB24" s="449"/>
      <c r="SC24" s="450"/>
      <c r="SD24" s="451">
        <f>+VLOOKUP(RX13,'Cost x Depart'!$A$2:$AL$1275,RW24,0)</f>
        <v>1897256.2577589476</v>
      </c>
      <c r="SE24" s="123"/>
      <c r="SI24" s="936">
        <f t="shared" ref="SI24" si="519">+SD24/SD65</f>
        <v>1.4847070486691259E-2</v>
      </c>
      <c r="SK24" s="105">
        <v>24</v>
      </c>
      <c r="SL24" s="1213" t="s">
        <v>1322</v>
      </c>
      <c r="SM24" s="1215" t="s">
        <v>1329</v>
      </c>
      <c r="SN24" s="1216"/>
      <c r="SO24" s="452">
        <f t="shared" ref="SO24" si="520">+SN19</f>
        <v>0</v>
      </c>
      <c r="SP24" s="449"/>
      <c r="SQ24" s="450"/>
      <c r="SR24" s="451">
        <f>+VLOOKUP(SL13,'Cost x Depart'!$A$2:$AL$1275,SK24,0)</f>
        <v>0</v>
      </c>
      <c r="SS24" s="123"/>
      <c r="SW24" s="936">
        <f>IF(ISERROR((+SR24/SR65)),0,(+SR24/SR65))</f>
        <v>0</v>
      </c>
      <c r="SY24" s="105">
        <v>20</v>
      </c>
      <c r="SZ24" s="1213" t="s">
        <v>1322</v>
      </c>
      <c r="TA24" s="1215" t="s">
        <v>1329</v>
      </c>
      <c r="TB24" s="1216"/>
      <c r="TC24" s="452">
        <f t="shared" ref="TC24" si="521">+TB19</f>
        <v>1754</v>
      </c>
      <c r="TD24" s="449"/>
      <c r="TE24" s="450"/>
      <c r="TF24" s="125">
        <f t="shared" ref="TF24:TF25" si="522">+H24+V24+AX24+BL24+BZ24+CN24+DB24+DP24+ED24+ER24+FF24+FT24+GH24+GV24+HJ24+HX24+IL24+IZ24+KB24+KP24+LD24+LR24+MF24+MT24+NH24+NV24+OJ24+OX24+PL24+PZ24+QN24+RB24+RP24+SD24</f>
        <v>1309779539.1208665</v>
      </c>
      <c r="TG24" s="123"/>
      <c r="TK24" s="936">
        <f t="shared" ref="TK24" si="523">+TF24/TF65</f>
        <v>4.0336562328078397E-2</v>
      </c>
    </row>
    <row r="25" spans="1:531" ht="18" customHeight="1" thickBot="1">
      <c r="A25" s="105">
        <v>25</v>
      </c>
      <c r="B25" s="1214"/>
      <c r="C25" s="1217" t="s">
        <v>1371</v>
      </c>
      <c r="D25" s="1218"/>
      <c r="E25" s="1218"/>
      <c r="F25" s="1218"/>
      <c r="G25" s="1219"/>
      <c r="H25" s="451">
        <f>+VLOOKUP(B13,'Cost x Depart'!$A$2:$AL$1275,A25,0)</f>
        <v>8312142.7083716355</v>
      </c>
      <c r="I25" s="123"/>
      <c r="M25" s="938">
        <f>+H25/H65</f>
        <v>2.8474352625752404E-3</v>
      </c>
      <c r="O25" s="105">
        <v>25</v>
      </c>
      <c r="P25" s="1222"/>
      <c r="Q25" s="1217" t="s">
        <v>1371</v>
      </c>
      <c r="R25" s="1218"/>
      <c r="S25" s="1218"/>
      <c r="T25" s="1218"/>
      <c r="U25" s="1219"/>
      <c r="V25" s="451">
        <f>+VLOOKUP(P13,'Cost x Depart'!$A$2:$AL$1275,O25,0)</f>
        <v>1949345.1427754804</v>
      </c>
      <c r="W25" s="123"/>
      <c r="AA25" s="938">
        <f t="shared" ref="AA25" si="524">+V25/V65</f>
        <v>2.8400817280544053E-3</v>
      </c>
      <c r="AC25" s="105">
        <v>21</v>
      </c>
      <c r="AD25" s="1222"/>
      <c r="AE25" s="1217" t="s">
        <v>1371</v>
      </c>
      <c r="AF25" s="1218"/>
      <c r="AG25" s="1218"/>
      <c r="AH25" s="1218"/>
      <c r="AI25" s="1219"/>
      <c r="AJ25" s="451">
        <f t="shared" si="451"/>
        <v>10261487.851147115</v>
      </c>
      <c r="AK25" s="123"/>
      <c r="AO25" s="938">
        <f t="shared" ref="AO25" si="525">+AJ25/AJ65</f>
        <v>2.846035404518743E-3</v>
      </c>
      <c r="AQ25" s="105">
        <v>25</v>
      </c>
      <c r="AR25" s="1222"/>
      <c r="AS25" s="1217" t="s">
        <v>1371</v>
      </c>
      <c r="AT25" s="1218"/>
      <c r="AU25" s="1218"/>
      <c r="AV25" s="1218"/>
      <c r="AW25" s="1219"/>
      <c r="AX25" s="451">
        <f>+VLOOKUP(AR13,'Cost x Depart'!$A$2:$AL$1275,AQ25,0)</f>
        <v>2090107.2512467727</v>
      </c>
      <c r="AY25" s="123"/>
      <c r="BC25" s="938">
        <f t="shared" ref="BC25" si="526">+AX25/AX65</f>
        <v>2.0077967355577289E-3</v>
      </c>
      <c r="BE25" s="105">
        <v>25</v>
      </c>
      <c r="BF25" s="1222"/>
      <c r="BG25" s="1217" t="s">
        <v>1371</v>
      </c>
      <c r="BH25" s="1218"/>
      <c r="BI25" s="1218"/>
      <c r="BJ25" s="1218"/>
      <c r="BK25" s="1219"/>
      <c r="BL25" s="451">
        <f>+VLOOKUP(BF13,'Cost x Depart'!$A$2:$AL$1275,BE25,0)</f>
        <v>3002339.8155129971</v>
      </c>
      <c r="BM25" s="123"/>
      <c r="BQ25" s="938">
        <f t="shared" ref="BQ25" si="527">+BL25/BL65</f>
        <v>2.010356198462421E-3</v>
      </c>
      <c r="BS25" s="105">
        <v>25</v>
      </c>
      <c r="BT25" s="1222"/>
      <c r="BU25" s="1217" t="s">
        <v>1371</v>
      </c>
      <c r="BV25" s="1218"/>
      <c r="BW25" s="1218"/>
      <c r="BX25" s="1218"/>
      <c r="BY25" s="1219"/>
      <c r="BZ25" s="451">
        <f>+VLOOKUP(BT13,'Cost x Depart'!$A$2:$AL$1275,BS25,0)</f>
        <v>1900413.0637396667</v>
      </c>
      <c r="CA25" s="123"/>
      <c r="CE25" s="938">
        <f t="shared" ref="CE25" si="528">+BZ25/BZ65</f>
        <v>1.4874144762320465E-3</v>
      </c>
      <c r="CG25" s="105">
        <v>25</v>
      </c>
      <c r="CH25" s="1222"/>
      <c r="CI25" s="1217" t="s">
        <v>1371</v>
      </c>
      <c r="CJ25" s="1218"/>
      <c r="CK25" s="1218"/>
      <c r="CL25" s="1218"/>
      <c r="CM25" s="1219"/>
      <c r="CN25" s="451">
        <f>+VLOOKUP(CH13,'Cost x Depart'!$A$2:$AL$1275,CG25,0)</f>
        <v>1155723.3981614325</v>
      </c>
      <c r="CO25" s="123"/>
      <c r="CS25" s="938">
        <f t="shared" ref="CS25" si="529">+CN25/CN65</f>
        <v>9.0493906051451051E-4</v>
      </c>
      <c r="CU25" s="105">
        <v>25</v>
      </c>
      <c r="CV25" s="1222"/>
      <c r="CW25" s="1217" t="s">
        <v>1371</v>
      </c>
      <c r="CX25" s="1218"/>
      <c r="CY25" s="1218"/>
      <c r="CZ25" s="1218"/>
      <c r="DA25" s="1219"/>
      <c r="DB25" s="451">
        <f>+VLOOKUP(CV13,'Cost x Depart'!$A$2:$AL$1275,CU25,0)</f>
        <v>1090131.1998509462</v>
      </c>
      <c r="DC25" s="123"/>
      <c r="DG25" s="938">
        <f t="shared" ref="DG25" si="530">+DB25/DB65</f>
        <v>1.5562081214471062E-3</v>
      </c>
      <c r="DI25" s="105">
        <v>25</v>
      </c>
      <c r="DJ25" s="1222"/>
      <c r="DK25" s="1217" t="s">
        <v>1371</v>
      </c>
      <c r="DL25" s="1218"/>
      <c r="DM25" s="1218"/>
      <c r="DN25" s="1218"/>
      <c r="DO25" s="1219"/>
      <c r="DP25" s="451">
        <f>+VLOOKUP(DJ13,'Cost x Depart'!$A$2:$AL$1275,DI25,0)</f>
        <v>3706734.5616624178</v>
      </c>
      <c r="DQ25" s="123"/>
      <c r="DU25" s="938">
        <f t="shared" ref="DU25" si="531">+DP25/DP65</f>
        <v>2.6028267552450734E-3</v>
      </c>
      <c r="DW25" s="105">
        <v>25</v>
      </c>
      <c r="DX25" s="1222"/>
      <c r="DY25" s="1217" t="s">
        <v>1371</v>
      </c>
      <c r="DZ25" s="1218"/>
      <c r="EA25" s="1218"/>
      <c r="EB25" s="1218"/>
      <c r="EC25" s="1219"/>
      <c r="ED25" s="451">
        <f>+VLOOKUP(DX13,'Cost x Depart'!$A$2:$AL$1275,DW25,0)</f>
        <v>2053617.9486761237</v>
      </c>
      <c r="EE25" s="123"/>
      <c r="EI25" s="938">
        <f t="shared" ref="EI25" si="532">+ED25/ED65</f>
        <v>2.0076472623265758E-3</v>
      </c>
      <c r="EK25" s="105">
        <v>25</v>
      </c>
      <c r="EL25" s="1222"/>
      <c r="EM25" s="1217" t="s">
        <v>1371</v>
      </c>
      <c r="EN25" s="1218"/>
      <c r="EO25" s="1218"/>
      <c r="EP25" s="1218"/>
      <c r="EQ25" s="1219"/>
      <c r="ER25" s="451">
        <f>+VLOOKUP(EL13,'Cost x Depart'!$A$2:$AL$1275,EK25,0)</f>
        <v>2929361.2103716987</v>
      </c>
      <c r="ES25" s="123"/>
      <c r="EW25" s="938">
        <f t="shared" ref="EW25" si="533">+ER25/ER65</f>
        <v>2.0102099281658994E-3</v>
      </c>
      <c r="EY25" s="105">
        <v>25</v>
      </c>
      <c r="EZ25" s="1222"/>
      <c r="FA25" s="1217" t="s">
        <v>1371</v>
      </c>
      <c r="FB25" s="1218"/>
      <c r="FC25" s="1218"/>
      <c r="FD25" s="1218"/>
      <c r="FE25" s="1219"/>
      <c r="FF25" s="451">
        <f>+VLOOKUP(EZ13,'Cost x Depart'!$A$2:$AL$1275,EY25,0)</f>
        <v>3221086.4244751865</v>
      </c>
      <c r="FG25" s="123"/>
      <c r="FK25" s="938">
        <f t="shared" ref="FK25" si="534">+FF25/FF65</f>
        <v>2.0548306028002421E-3</v>
      </c>
      <c r="FM25" s="105">
        <v>25</v>
      </c>
      <c r="FN25" s="1222"/>
      <c r="FO25" s="1217" t="s">
        <v>1371</v>
      </c>
      <c r="FP25" s="1218"/>
      <c r="FQ25" s="1218"/>
      <c r="FR25" s="1218"/>
      <c r="FS25" s="1219"/>
      <c r="FT25" s="451">
        <f>+VLOOKUP(FN13,'Cost x Depart'!$A$2:$AL$1275,FM25,0)</f>
        <v>2290798.4153853417</v>
      </c>
      <c r="FU25" s="123"/>
      <c r="FY25" s="938">
        <f t="shared" ref="FY25" si="535">+FT25/FT65</f>
        <v>2.0085340464954305E-3</v>
      </c>
      <c r="GA25" s="105">
        <v>25</v>
      </c>
      <c r="GB25" s="1222"/>
      <c r="GC25" s="1217" t="s">
        <v>1371</v>
      </c>
      <c r="GD25" s="1218"/>
      <c r="GE25" s="1218"/>
      <c r="GF25" s="1218"/>
      <c r="GG25" s="1219"/>
      <c r="GH25" s="451">
        <f>+VLOOKUP(GB13,'Cost x Depart'!$A$2:$AL$1275,GA25,0)</f>
        <v>1107179.1779508886</v>
      </c>
      <c r="GI25" s="123"/>
      <c r="GM25" s="938">
        <f t="shared" ref="GM25" si="536">+GH25/GH65</f>
        <v>1.2556256122635914E-3</v>
      </c>
      <c r="GO25" s="105">
        <v>25</v>
      </c>
      <c r="GP25" s="1222"/>
      <c r="GQ25" s="1217" t="s">
        <v>1371</v>
      </c>
      <c r="GR25" s="1218"/>
      <c r="GS25" s="1218"/>
      <c r="GT25" s="1218"/>
      <c r="GU25" s="1219"/>
      <c r="GV25" s="451">
        <f>+VLOOKUP(GP13,'Cost x Depart'!$A$2:$AL$1275,GO25,0)</f>
        <v>618711.18668672652</v>
      </c>
      <c r="GW25" s="123"/>
      <c r="HA25" s="938">
        <f t="shared" ref="HA25" si="537">+GV25/GV65</f>
        <v>1.1217733017708244E-3</v>
      </c>
      <c r="HC25" s="105">
        <v>25</v>
      </c>
      <c r="HD25" s="1222"/>
      <c r="HE25" s="1217" t="s">
        <v>1371</v>
      </c>
      <c r="HF25" s="1218"/>
      <c r="HG25" s="1218"/>
      <c r="HH25" s="1218"/>
      <c r="HI25" s="1219"/>
      <c r="HJ25" s="451">
        <f>+VLOOKUP(HD13,'Cost x Depart'!$A$2:$AL$1275,HC25,0)</f>
        <v>3561355.9308953392</v>
      </c>
      <c r="HK25" s="123"/>
      <c r="HO25" s="938">
        <f t="shared" ref="HO25" si="538">+HJ25/HJ65</f>
        <v>2.0100404026483069E-3</v>
      </c>
      <c r="HQ25" s="105">
        <v>25</v>
      </c>
      <c r="HR25" s="1222"/>
      <c r="HS25" s="1217" t="s">
        <v>1371</v>
      </c>
      <c r="HT25" s="1218"/>
      <c r="HU25" s="1218"/>
      <c r="HV25" s="1218"/>
      <c r="HW25" s="1219"/>
      <c r="HX25" s="451">
        <f>+VLOOKUP(HR13,'Cost x Depart'!$A$2:$AL$1275,HQ25,0)</f>
        <v>698648.03251188505</v>
      </c>
      <c r="HY25" s="123"/>
      <c r="IC25" s="938">
        <f t="shared" ref="IC25" si="539">+HX25/HX65</f>
        <v>1.1226206634079429E-3</v>
      </c>
      <c r="IE25" s="105">
        <v>25</v>
      </c>
      <c r="IF25" s="1222"/>
      <c r="IG25" s="1217" t="s">
        <v>1371</v>
      </c>
      <c r="IH25" s="1218"/>
      <c r="II25" s="1218"/>
      <c r="IJ25" s="1218"/>
      <c r="IK25" s="1219"/>
      <c r="IL25" s="451">
        <f>+VLOOKUP(IF13,'Cost x Depart'!$A$2:$AL$1275,IE25,0)</f>
        <v>829682.15997653489</v>
      </c>
      <c r="IM25" s="123"/>
      <c r="IQ25" s="938">
        <f t="shared" ref="IQ25" si="540">+IL25/IL65</f>
        <v>1.982018573177321E-3</v>
      </c>
      <c r="IS25" s="105">
        <v>25</v>
      </c>
      <c r="IT25" s="1222"/>
      <c r="IU25" s="1217" t="s">
        <v>1371</v>
      </c>
      <c r="IV25" s="1218"/>
      <c r="IW25" s="1218"/>
      <c r="IX25" s="1218"/>
      <c r="IY25" s="1219"/>
      <c r="IZ25" s="451">
        <f>+VLOOKUP(IT13,'Cost x Depart'!$A$2:$AL$1275,IS25,0)</f>
        <v>5189127.0981110809</v>
      </c>
      <c r="JA25" s="123"/>
      <c r="JE25" s="938">
        <f t="shared" ref="JE25" si="541">+IZ25/IZ65</f>
        <v>1.993473704658627E-3</v>
      </c>
      <c r="JG25" s="105">
        <v>21</v>
      </c>
      <c r="JH25" s="1222"/>
      <c r="JI25" s="1217" t="s">
        <v>1371</v>
      </c>
      <c r="JJ25" s="1218"/>
      <c r="JK25" s="1218"/>
      <c r="JL25" s="1218"/>
      <c r="JM25" s="1219"/>
      <c r="JN25" s="451">
        <f t="shared" si="486"/>
        <v>6018809.2580876155</v>
      </c>
      <c r="JO25" s="123"/>
      <c r="JS25" s="938">
        <f t="shared" ref="JS25" si="542">+JN25/JN65</f>
        <v>1.9918867731696381E-3</v>
      </c>
      <c r="JU25" s="105">
        <v>25</v>
      </c>
      <c r="JV25" s="1222"/>
      <c r="JW25" s="1217" t="s">
        <v>1371</v>
      </c>
      <c r="JX25" s="1218"/>
      <c r="JY25" s="1218"/>
      <c r="JZ25" s="1218"/>
      <c r="KA25" s="1219"/>
      <c r="KB25" s="451">
        <f>+VLOOKUP(JV13,'Cost x Depart'!$A$2:$AL$1275,JU25,0)</f>
        <v>1993657.8152706632</v>
      </c>
      <c r="KC25" s="123"/>
      <c r="KG25" s="938">
        <f t="shared" ref="KG25" si="543">+KB25/KB65</f>
        <v>2.2731891315621046E-3</v>
      </c>
      <c r="KI25" s="105">
        <v>25</v>
      </c>
      <c r="KJ25" s="1222"/>
      <c r="KK25" s="1217" t="s">
        <v>1371</v>
      </c>
      <c r="KL25" s="1218"/>
      <c r="KM25" s="1218"/>
      <c r="KN25" s="1218"/>
      <c r="KO25" s="1219"/>
      <c r="KP25" s="451">
        <f>+VLOOKUP(KJ13,'Cost x Depart'!$A$2:$AL$1275,KI25,0)</f>
        <v>1056730.2024459941</v>
      </c>
      <c r="KQ25" s="123"/>
      <c r="KU25" s="938">
        <f t="shared" ref="KU25" si="544">+KP25/KP65</f>
        <v>2.0037379089992177E-3</v>
      </c>
      <c r="KW25" s="105">
        <v>25</v>
      </c>
      <c r="KX25" s="1222"/>
      <c r="KY25" s="1217" t="s">
        <v>1371</v>
      </c>
      <c r="KZ25" s="1218"/>
      <c r="LA25" s="1218"/>
      <c r="LB25" s="1218"/>
      <c r="LC25" s="1219"/>
      <c r="LD25" s="451">
        <f>+VLOOKUP(KX13,'Cost x Depart'!$A$2:$AL$1275,KW25,0)</f>
        <v>536352.87310358463</v>
      </c>
      <c r="LE25" s="123"/>
      <c r="LI25" s="938">
        <f t="shared" ref="LI25" si="545">+LD25/LD65</f>
        <v>1.250215718099116E-3</v>
      </c>
      <c r="LK25" s="105">
        <v>25</v>
      </c>
      <c r="LL25" s="1222"/>
      <c r="LM25" s="1217" t="s">
        <v>1371</v>
      </c>
      <c r="LN25" s="1218"/>
      <c r="LO25" s="1218"/>
      <c r="LP25" s="1218"/>
      <c r="LQ25" s="1219"/>
      <c r="LR25" s="451">
        <f>+VLOOKUP(LL13,'Cost x Depart'!$A$2:$AL$1275,LK25,0)</f>
        <v>2254309.1128146928</v>
      </c>
      <c r="LS25" s="123"/>
      <c r="LW25" s="938">
        <f t="shared" ref="LW25" si="546">+LR25/LR65</f>
        <v>2.0084097165730887E-3</v>
      </c>
      <c r="LY25" s="105">
        <v>25</v>
      </c>
      <c r="LZ25" s="1222"/>
      <c r="MA25" s="1217" t="s">
        <v>1371</v>
      </c>
      <c r="MB25" s="1218"/>
      <c r="MC25" s="1218"/>
      <c r="MD25" s="1218"/>
      <c r="ME25" s="1219"/>
      <c r="MF25" s="451">
        <f>+VLOOKUP(LZ13,'Cost x Depart'!$A$2:$AL$1275,LY25,0)</f>
        <v>2236064.4615293685</v>
      </c>
      <c r="MG25" s="123"/>
      <c r="MK25" s="938">
        <f t="shared" ref="MK25" si="547">+MF25/MF65</f>
        <v>2.0083460359114512E-3</v>
      </c>
      <c r="MM25" s="105">
        <v>25</v>
      </c>
      <c r="MN25" s="1222"/>
      <c r="MO25" s="1217" t="s">
        <v>1371</v>
      </c>
      <c r="MP25" s="1218"/>
      <c r="MQ25" s="1218"/>
      <c r="MR25" s="1218"/>
      <c r="MS25" s="1219"/>
      <c r="MT25" s="451">
        <f>+VLOOKUP(MN13,'Cost x Depart'!$A$2:$AL$1275,MM25,0)</f>
        <v>1152719.889794121</v>
      </c>
      <c r="MU25" s="123"/>
      <c r="MY25" s="938">
        <f t="shared" ref="MY25" si="548">+MT25/MT65</f>
        <v>1.0117815339976256E-3</v>
      </c>
      <c r="NA25" s="105">
        <v>25</v>
      </c>
      <c r="NB25" s="1222"/>
      <c r="NC25" s="1217" t="s">
        <v>1371</v>
      </c>
      <c r="ND25" s="1218"/>
      <c r="NE25" s="1218"/>
      <c r="NF25" s="1218"/>
      <c r="NG25" s="1219"/>
      <c r="NH25" s="451">
        <f>+VLOOKUP(NB13,'Cost x Depart'!$A$2:$AL$1275,NA25,0)</f>
        <v>5160432.4672287777</v>
      </c>
      <c r="NI25" s="123"/>
      <c r="NM25" s="938">
        <f t="shared" ref="NM25" si="549">+NH25/NH65</f>
        <v>2.3667511265473358E-3</v>
      </c>
      <c r="NO25" s="105">
        <v>25</v>
      </c>
      <c r="NP25" s="1222"/>
      <c r="NQ25" s="1217" t="s">
        <v>1371</v>
      </c>
      <c r="NR25" s="1218"/>
      <c r="NS25" s="1218"/>
      <c r="NT25" s="1218"/>
      <c r="NU25" s="1219"/>
      <c r="NV25" s="451">
        <f>+VLOOKUP(NP13,'Cost x Depart'!$A$2:$AL$1275,NO25,0)</f>
        <v>268717.16035374324</v>
      </c>
      <c r="NW25" s="123"/>
      <c r="OA25" s="938">
        <f t="shared" ref="OA25" si="550">+NV25/NV65</f>
        <v>7.7419517413434148E-4</v>
      </c>
      <c r="OC25" s="105">
        <v>25</v>
      </c>
      <c r="OD25" s="1222"/>
      <c r="OE25" s="1217" t="s">
        <v>1371</v>
      </c>
      <c r="OF25" s="1218"/>
      <c r="OG25" s="1218"/>
      <c r="OH25" s="1218"/>
      <c r="OI25" s="1219"/>
      <c r="OJ25" s="451">
        <f>+VLOOKUP(OD13,'Cost x Depart'!$A$2:$AL$1275,OC25,0)</f>
        <v>798197.45484530588</v>
      </c>
      <c r="OK25" s="123"/>
      <c r="OO25" s="938">
        <f t="shared" ref="OO25" si="551">+OJ25/OJ65</f>
        <v>1.7645236562399997E-3</v>
      </c>
      <c r="OQ25" s="105">
        <v>25</v>
      </c>
      <c r="OR25" s="1222"/>
      <c r="OS25" s="1217" t="s">
        <v>1371</v>
      </c>
      <c r="OT25" s="1218"/>
      <c r="OU25" s="1218"/>
      <c r="OV25" s="1218"/>
      <c r="OW25" s="1219"/>
      <c r="OX25" s="451">
        <f>+VLOOKUP(OR13,'Cost x Depart'!$A$2:$AL$1275,OQ25,0)</f>
        <v>734563.08193428256</v>
      </c>
      <c r="OY25" s="123"/>
      <c r="PC25" s="938">
        <f t="shared" ref="PC25" si="552">+OX25/OX65</f>
        <v>1.2853172232733122E-3</v>
      </c>
      <c r="PE25" s="105">
        <v>25</v>
      </c>
      <c r="PF25" s="1222"/>
      <c r="PG25" s="1217" t="s">
        <v>1371</v>
      </c>
      <c r="PH25" s="1218"/>
      <c r="PI25" s="1218"/>
      <c r="PJ25" s="1218"/>
      <c r="PK25" s="1219"/>
      <c r="PL25" s="451">
        <f>+VLOOKUP(PF13,'Cost x Depart'!$A$2:$AL$1275,PE25,0)</f>
        <v>111372.5909001767</v>
      </c>
      <c r="PM25" s="123"/>
      <c r="PQ25" s="938">
        <f t="shared" ref="PQ25" si="553">+PL25/PL65</f>
        <v>7.6633731832318744E-4</v>
      </c>
      <c r="PS25" s="105">
        <v>25</v>
      </c>
      <c r="PT25" s="1222"/>
      <c r="PU25" s="1217" t="s">
        <v>1371</v>
      </c>
      <c r="PV25" s="1218"/>
      <c r="PW25" s="1218"/>
      <c r="PX25" s="1218"/>
      <c r="PY25" s="1219"/>
      <c r="PZ25" s="451">
        <f>+VLOOKUP(PT13,'Cost x Depart'!$A$2:$AL$1275,PS25,0)</f>
        <v>172942.20503418098</v>
      </c>
      <c r="QA25" s="123"/>
      <c r="QE25" s="938">
        <f t="shared" ref="QE25" si="554">+PZ25/PZ65</f>
        <v>7.7109582882722914E-4</v>
      </c>
      <c r="QG25" s="105">
        <v>25</v>
      </c>
      <c r="QH25" s="1222"/>
      <c r="QI25" s="1217" t="s">
        <v>1371</v>
      </c>
      <c r="QJ25" s="1218"/>
      <c r="QK25" s="1218"/>
      <c r="QL25" s="1218"/>
      <c r="QM25" s="1219"/>
      <c r="QN25" s="451">
        <f>+VLOOKUP(QH13,'Cost x Depart'!$A$2:$AL$1275,QG25,0)</f>
        <v>63485.113240395549</v>
      </c>
      <c r="QO25" s="123"/>
      <c r="QS25" s="938">
        <f t="shared" ref="QS25" si="555">+QN25/QN65</f>
        <v>7.564466507194574E-4</v>
      </c>
      <c r="QU25" s="105">
        <v>25</v>
      </c>
      <c r="QV25" s="1222"/>
      <c r="QW25" s="1217" t="s">
        <v>1371</v>
      </c>
      <c r="QX25" s="1218"/>
      <c r="QY25" s="1218"/>
      <c r="QZ25" s="1218"/>
      <c r="RA25" s="1219"/>
      <c r="RB25" s="451">
        <f>+VLOOKUP(QV13,'Cost x Depart'!$A$2:$AL$1275,QU25,0)</f>
        <v>145577.93208573462</v>
      </c>
      <c r="RC25" s="123"/>
      <c r="RG25" s="938">
        <f t="shared" ref="RG25" si="556">+RB25/RB65</f>
        <v>7.6947123908083258E-4</v>
      </c>
      <c r="RI25" s="105">
        <v>25</v>
      </c>
      <c r="RJ25" s="1222"/>
      <c r="RK25" s="1217" t="s">
        <v>1371</v>
      </c>
      <c r="RL25" s="1218"/>
      <c r="RM25" s="1218"/>
      <c r="RN25" s="1218"/>
      <c r="RO25" s="1219"/>
      <c r="RP25" s="451">
        <f>+VLOOKUP(RJ13,'Cost x Depart'!$A$2:$AL$1275,RI25,0)</f>
        <v>74191.430097800869</v>
      </c>
      <c r="RQ25" s="123"/>
      <c r="RU25" s="938">
        <f t="shared" ref="RU25" si="557">+RP25/RP65</f>
        <v>8.8164744656619347E-4</v>
      </c>
      <c r="RW25" s="105">
        <v>25</v>
      </c>
      <c r="RX25" s="1222"/>
      <c r="RY25" s="1217" t="s">
        <v>1371</v>
      </c>
      <c r="RZ25" s="1218"/>
      <c r="SA25" s="1218"/>
      <c r="SB25" s="1218"/>
      <c r="SC25" s="1219"/>
      <c r="SD25" s="451">
        <f>+VLOOKUP(RX13,'Cost x Depart'!$A$2:$AL$1275,RW25,0)</f>
        <v>97690.454425953503</v>
      </c>
      <c r="SE25" s="123"/>
      <c r="SI25" s="938">
        <f t="shared" ref="SI25" si="558">+SD25/SD65</f>
        <v>7.6448136977145858E-4</v>
      </c>
      <c r="SK25" s="105">
        <v>25</v>
      </c>
      <c r="SL25" s="1222"/>
      <c r="SM25" s="1217" t="s">
        <v>1371</v>
      </c>
      <c r="SN25" s="1218"/>
      <c r="SO25" s="1218"/>
      <c r="SP25" s="1218"/>
      <c r="SQ25" s="1219"/>
      <c r="SR25" s="451">
        <f>+VLOOKUP(SL13,'Cost x Depart'!$A$2:$AL$1275,SK25,0)</f>
        <v>0</v>
      </c>
      <c r="SS25" s="123"/>
      <c r="SW25" s="938">
        <f>IF(ISERROR((+SR25/SR65)),0,(+SR25/SR65))</f>
        <v>0</v>
      </c>
      <c r="SY25" s="105">
        <v>21</v>
      </c>
      <c r="SZ25" s="1222"/>
      <c r="TA25" s="1217" t="s">
        <v>1371</v>
      </c>
      <c r="TB25" s="1218"/>
      <c r="TC25" s="1218"/>
      <c r="TD25" s="1218"/>
      <c r="TE25" s="1219"/>
      <c r="TF25" s="125">
        <f t="shared" si="522"/>
        <v>62563508.971466921</v>
      </c>
      <c r="TG25" s="123"/>
      <c r="TK25" s="938">
        <f t="shared" ref="TK25" si="559">+TF25/TF65</f>
        <v>1.9267340828859824E-3</v>
      </c>
    </row>
    <row r="26" spans="1:531" ht="18" customHeight="1" thickBot="1">
      <c r="B26" s="949" t="s">
        <v>2328</v>
      </c>
      <c r="C26" s="129"/>
      <c r="D26" s="129"/>
      <c r="E26" s="129"/>
      <c r="F26" s="129"/>
      <c r="G26" s="129"/>
      <c r="H26" s="434">
        <f>+H24+H25</f>
        <v>183837592.79378265</v>
      </c>
      <c r="I26" s="131"/>
      <c r="P26" s="949" t="s">
        <v>2328</v>
      </c>
      <c r="Q26" s="129"/>
      <c r="R26" s="129"/>
      <c r="S26" s="129"/>
      <c r="T26" s="129"/>
      <c r="U26" s="129"/>
      <c r="V26" s="434">
        <f t="shared" ref="V26" si="560">+V24+V25</f>
        <v>42455218.239408858</v>
      </c>
      <c r="W26" s="131"/>
      <c r="AD26" s="949" t="s">
        <v>2328</v>
      </c>
      <c r="AE26" s="129"/>
      <c r="AF26" s="129"/>
      <c r="AG26" s="129"/>
      <c r="AH26" s="129"/>
      <c r="AI26" s="129"/>
      <c r="AJ26" s="434">
        <f t="shared" ref="AJ26" si="561">+AJ24+AJ25</f>
        <v>226292811.0331915</v>
      </c>
      <c r="AK26" s="131"/>
      <c r="AR26" s="949" t="s">
        <v>2328</v>
      </c>
      <c r="AS26" s="129"/>
      <c r="AT26" s="129"/>
      <c r="AU26" s="129"/>
      <c r="AV26" s="129"/>
      <c r="AW26" s="129"/>
      <c r="AX26" s="434">
        <f t="shared" ref="AX26" si="562">+AX24+AX25</f>
        <v>45682660.722315401</v>
      </c>
      <c r="AY26" s="131"/>
      <c r="BF26" s="949" t="s">
        <v>2328</v>
      </c>
      <c r="BG26" s="129"/>
      <c r="BH26" s="129"/>
      <c r="BI26" s="129"/>
      <c r="BJ26" s="129"/>
      <c r="BK26" s="129"/>
      <c r="BL26" s="434">
        <f t="shared" ref="BL26" si="563">+BL24+BL25</f>
        <v>66055854.657594405</v>
      </c>
      <c r="BM26" s="131"/>
      <c r="BT26" s="949" t="s">
        <v>2328</v>
      </c>
      <c r="BU26" s="129"/>
      <c r="BV26" s="129"/>
      <c r="BW26" s="129"/>
      <c r="BX26" s="129"/>
      <c r="BY26" s="129"/>
      <c r="BZ26" s="434">
        <f t="shared" ref="BZ26:ED26" si="564">+BZ24+BZ25</f>
        <v>41714528.877215654</v>
      </c>
      <c r="CA26" s="131"/>
      <c r="CH26" s="949" t="s">
        <v>2328</v>
      </c>
      <c r="CI26" s="129"/>
      <c r="CJ26" s="129"/>
      <c r="CK26" s="129"/>
      <c r="CL26" s="129"/>
      <c r="CM26" s="129"/>
      <c r="CN26" s="434">
        <f t="shared" si="564"/>
        <v>25374535.062271141</v>
      </c>
      <c r="CO26" s="131"/>
      <c r="CV26" s="949" t="s">
        <v>2328</v>
      </c>
      <c r="CW26" s="129"/>
      <c r="CX26" s="129"/>
      <c r="CY26" s="129"/>
      <c r="CZ26" s="129"/>
      <c r="DA26" s="129"/>
      <c r="DB26" s="434">
        <f t="shared" si="564"/>
        <v>23773217.083128672</v>
      </c>
      <c r="DC26" s="131"/>
      <c r="DJ26" s="949" t="s">
        <v>2328</v>
      </c>
      <c r="DK26" s="129"/>
      <c r="DL26" s="129"/>
      <c r="DM26" s="129"/>
      <c r="DN26" s="129"/>
      <c r="DO26" s="129"/>
      <c r="DP26" s="434">
        <f t="shared" si="564"/>
        <v>81473974.50268203</v>
      </c>
      <c r="DQ26" s="131"/>
      <c r="DX26" s="949" t="s">
        <v>2328</v>
      </c>
      <c r="DY26" s="129"/>
      <c r="DZ26" s="129"/>
      <c r="EA26" s="129"/>
      <c r="EB26" s="129"/>
      <c r="EC26" s="129"/>
      <c r="ED26" s="434">
        <f t="shared" si="564"/>
        <v>44867732.964904234</v>
      </c>
      <c r="EE26" s="131"/>
      <c r="EL26" s="949" t="s">
        <v>2328</v>
      </c>
      <c r="EM26" s="129"/>
      <c r="EN26" s="129"/>
      <c r="EO26" s="129"/>
      <c r="EP26" s="129"/>
      <c r="EQ26" s="129"/>
      <c r="ER26" s="434">
        <f t="shared" ref="ER26:GV26" si="565">+ER24+ER25</f>
        <v>64425999.142772079</v>
      </c>
      <c r="ES26" s="131"/>
      <c r="EZ26" s="949" t="s">
        <v>2328</v>
      </c>
      <c r="FA26" s="129"/>
      <c r="FB26" s="129"/>
      <c r="FC26" s="129"/>
      <c r="FD26" s="129"/>
      <c r="FE26" s="129"/>
      <c r="FF26" s="434">
        <f t="shared" si="565"/>
        <v>70918158.550672919</v>
      </c>
      <c r="FG26" s="131"/>
      <c r="FN26" s="949" t="s">
        <v>2328</v>
      </c>
      <c r="FO26" s="129"/>
      <c r="FP26" s="129"/>
      <c r="FQ26" s="129"/>
      <c r="FR26" s="129"/>
      <c r="FS26" s="129"/>
      <c r="FT26" s="434">
        <f t="shared" si="565"/>
        <v>50164763.388076782</v>
      </c>
      <c r="FU26" s="131"/>
      <c r="GB26" s="949" t="s">
        <v>2328</v>
      </c>
      <c r="GC26" s="129"/>
      <c r="GD26" s="129"/>
      <c r="GE26" s="129"/>
      <c r="GF26" s="129"/>
      <c r="GG26" s="129"/>
      <c r="GH26" s="434">
        <f t="shared" si="565"/>
        <v>24268549.769402295</v>
      </c>
      <c r="GI26" s="131"/>
      <c r="GP26" s="949" t="s">
        <v>2328</v>
      </c>
      <c r="GQ26" s="129"/>
      <c r="GR26" s="129"/>
      <c r="GS26" s="129"/>
      <c r="GT26" s="129"/>
      <c r="GU26" s="129"/>
      <c r="GV26" s="434">
        <f t="shared" si="565"/>
        <v>13408606.518712083</v>
      </c>
      <c r="GW26" s="131"/>
      <c r="HD26" s="949" t="s">
        <v>2328</v>
      </c>
      <c r="HE26" s="129"/>
      <c r="HF26" s="129"/>
      <c r="HG26" s="129"/>
      <c r="HH26" s="129"/>
      <c r="HI26" s="129"/>
      <c r="HJ26" s="434">
        <f t="shared" ref="HJ26:KB26" si="566">+HJ24+HJ25</f>
        <v>78291447.595584422</v>
      </c>
      <c r="HK26" s="131"/>
      <c r="HR26" s="949" t="s">
        <v>2328</v>
      </c>
      <c r="HS26" s="129"/>
      <c r="HT26" s="129"/>
      <c r="HU26" s="129"/>
      <c r="HV26" s="129"/>
      <c r="HW26" s="129"/>
      <c r="HX26" s="434">
        <f t="shared" si="566"/>
        <v>15193862.742140623</v>
      </c>
      <c r="HY26" s="131"/>
      <c r="IF26" s="949" t="s">
        <v>2328</v>
      </c>
      <c r="IG26" s="129"/>
      <c r="IH26" s="129"/>
      <c r="II26" s="129"/>
      <c r="IJ26" s="129"/>
      <c r="IK26" s="129"/>
      <c r="IL26" s="434">
        <f t="shared" si="566"/>
        <v>17789503.316291302</v>
      </c>
      <c r="IM26" s="131"/>
      <c r="IT26" s="949" t="s">
        <v>2328</v>
      </c>
      <c r="IU26" s="129"/>
      <c r="IV26" s="129"/>
      <c r="IW26" s="129"/>
      <c r="IX26" s="129"/>
      <c r="IY26" s="129"/>
      <c r="IZ26" s="434">
        <f t="shared" si="566"/>
        <v>114657063.65250628</v>
      </c>
      <c r="JA26" s="131"/>
      <c r="JH26" s="949" t="s">
        <v>2328</v>
      </c>
      <c r="JI26" s="129"/>
      <c r="JJ26" s="129"/>
      <c r="JK26" s="129"/>
      <c r="JL26" s="129"/>
      <c r="JM26" s="129"/>
      <c r="JN26" s="434">
        <f t="shared" ref="JN26" si="567">+JN24+JN25</f>
        <v>132446566.96879758</v>
      </c>
      <c r="JO26" s="131"/>
      <c r="JV26" s="949" t="s">
        <v>2328</v>
      </c>
      <c r="JW26" s="129"/>
      <c r="JX26" s="129"/>
      <c r="JY26" s="129"/>
      <c r="JZ26" s="129"/>
      <c r="KA26" s="129"/>
      <c r="KB26" s="434">
        <f t="shared" si="566"/>
        <v>43673687.759211145</v>
      </c>
      <c r="KC26" s="131"/>
      <c r="KJ26" s="949" t="s">
        <v>2328</v>
      </c>
      <c r="KK26" s="129"/>
      <c r="KL26" s="129"/>
      <c r="KM26" s="129"/>
      <c r="KN26" s="129"/>
      <c r="KO26" s="129"/>
      <c r="KP26" s="434">
        <f t="shared" ref="KP26:MT26" si="568">+KP24+KP25</f>
        <v>22853006.937980309</v>
      </c>
      <c r="KQ26" s="131"/>
      <c r="KX26" s="949" t="s">
        <v>2328</v>
      </c>
      <c r="KY26" s="129"/>
      <c r="KZ26" s="129"/>
      <c r="LA26" s="129"/>
      <c r="LB26" s="129"/>
      <c r="LC26" s="129"/>
      <c r="LD26" s="434">
        <f t="shared" si="568"/>
        <v>11520095.627812494</v>
      </c>
      <c r="LE26" s="131"/>
      <c r="LL26" s="949" t="s">
        <v>2328</v>
      </c>
      <c r="LM26" s="129"/>
      <c r="LN26" s="129"/>
      <c r="LO26" s="129"/>
      <c r="LP26" s="129"/>
      <c r="LQ26" s="129"/>
      <c r="LR26" s="434">
        <f t="shared" si="568"/>
        <v>49349835.630665623</v>
      </c>
      <c r="LS26" s="131"/>
      <c r="LZ26" s="949" t="s">
        <v>2328</v>
      </c>
      <c r="MA26" s="129"/>
      <c r="MB26" s="129"/>
      <c r="MC26" s="129"/>
      <c r="MD26" s="129"/>
      <c r="ME26" s="129"/>
      <c r="MF26" s="434">
        <f t="shared" si="568"/>
        <v>48942371.751960039</v>
      </c>
      <c r="MG26" s="131"/>
      <c r="MN26" s="949" t="s">
        <v>2328</v>
      </c>
      <c r="MO26" s="129"/>
      <c r="MP26" s="129"/>
      <c r="MQ26" s="129"/>
      <c r="MR26" s="129"/>
      <c r="MS26" s="129"/>
      <c r="MT26" s="434">
        <f t="shared" si="568"/>
        <v>25254392.756678045</v>
      </c>
      <c r="MU26" s="131"/>
      <c r="NB26" s="949" t="s">
        <v>2328</v>
      </c>
      <c r="NC26" s="129"/>
      <c r="ND26" s="129"/>
      <c r="NE26" s="129"/>
      <c r="NF26" s="129"/>
      <c r="NG26" s="129"/>
      <c r="NH26" s="434">
        <f t="shared" ref="NH26:PL26" si="569">+NH24+NH25</f>
        <v>113770709.97509444</v>
      </c>
      <c r="NI26" s="131"/>
      <c r="NP26" s="949" t="s">
        <v>2328</v>
      </c>
      <c r="NQ26" s="129"/>
      <c r="NR26" s="129"/>
      <c r="NS26" s="129"/>
      <c r="NT26" s="129"/>
      <c r="NU26" s="129"/>
      <c r="NV26" s="434">
        <f t="shared" si="569"/>
        <v>5814543.1445722058</v>
      </c>
      <c r="NW26" s="131"/>
      <c r="OD26" s="949" t="s">
        <v>2328</v>
      </c>
      <c r="OE26" s="129"/>
      <c r="OF26" s="129"/>
      <c r="OG26" s="129"/>
      <c r="OH26" s="129"/>
      <c r="OI26" s="129"/>
      <c r="OJ26" s="434">
        <f t="shared" si="569"/>
        <v>17171478.579877224</v>
      </c>
      <c r="OK26" s="131"/>
      <c r="OR26" s="949" t="s">
        <v>2328</v>
      </c>
      <c r="OS26" s="129"/>
      <c r="OT26" s="129"/>
      <c r="OU26" s="129"/>
      <c r="OV26" s="129"/>
      <c r="OW26" s="129"/>
      <c r="OX26" s="434">
        <f t="shared" si="569"/>
        <v>15934533.404813053</v>
      </c>
      <c r="OY26" s="131"/>
      <c r="PF26" s="949" t="s">
        <v>2328</v>
      </c>
      <c r="PG26" s="129"/>
      <c r="PH26" s="129"/>
      <c r="PI26" s="129"/>
      <c r="PJ26" s="129"/>
      <c r="PK26" s="129"/>
      <c r="PL26" s="434">
        <f t="shared" si="569"/>
        <v>2300514.4267758853</v>
      </c>
      <c r="PM26" s="131"/>
      <c r="PT26" s="949" t="s">
        <v>2328</v>
      </c>
      <c r="PU26" s="129"/>
      <c r="PV26" s="129"/>
      <c r="PW26" s="129"/>
      <c r="PX26" s="129"/>
      <c r="PY26" s="129"/>
      <c r="PZ26" s="434">
        <f t="shared" ref="PZ26:SD26" si="570">+PZ24+PZ25</f>
        <v>3675569.1424353146</v>
      </c>
      <c r="QA26" s="131"/>
      <c r="QH26" s="949" t="s">
        <v>2328</v>
      </c>
      <c r="QI26" s="129"/>
      <c r="QJ26" s="129"/>
      <c r="QK26" s="129"/>
      <c r="QL26" s="129"/>
      <c r="QM26" s="129"/>
      <c r="QN26" s="434">
        <f t="shared" si="570"/>
        <v>1231027.4257074401</v>
      </c>
      <c r="QO26" s="131"/>
      <c r="QV26" s="949" t="s">
        <v>2328</v>
      </c>
      <c r="QW26" s="129"/>
      <c r="QX26" s="129"/>
      <c r="QY26" s="129"/>
      <c r="QZ26" s="129"/>
      <c r="RA26" s="129"/>
      <c r="RB26" s="434">
        <f t="shared" si="570"/>
        <v>3064433.7132533463</v>
      </c>
      <c r="RC26" s="131"/>
      <c r="RJ26" s="949" t="s">
        <v>2328</v>
      </c>
      <c r="RK26" s="129"/>
      <c r="RL26" s="129"/>
      <c r="RM26" s="129"/>
      <c r="RN26" s="129"/>
      <c r="RO26" s="129"/>
      <c r="RP26" s="434">
        <f t="shared" si="570"/>
        <v>1438631.5238504603</v>
      </c>
      <c r="RQ26" s="131"/>
      <c r="RX26" s="949" t="s">
        <v>2328</v>
      </c>
      <c r="RY26" s="129"/>
      <c r="RZ26" s="129"/>
      <c r="SA26" s="129"/>
      <c r="SB26" s="129"/>
      <c r="SC26" s="129"/>
      <c r="SD26" s="434">
        <f t="shared" si="570"/>
        <v>1994946.7121849011</v>
      </c>
      <c r="SE26" s="131"/>
      <c r="SL26" s="949" t="s">
        <v>2328</v>
      </c>
      <c r="SM26" s="129"/>
      <c r="SN26" s="129"/>
      <c r="SO26" s="129"/>
      <c r="SP26" s="129"/>
      <c r="SQ26" s="129"/>
      <c r="SR26" s="434">
        <f t="shared" ref="SR26" si="571">+SR24+SR25</f>
        <v>0</v>
      </c>
      <c r="SS26" s="131"/>
      <c r="SZ26" s="949" t="s">
        <v>2328</v>
      </c>
      <c r="TA26" s="129"/>
      <c r="TB26" s="129"/>
      <c r="TC26" s="129"/>
      <c r="TD26" s="129"/>
      <c r="TE26" s="129"/>
      <c r="TF26" s="434">
        <f t="shared" ref="TF26" si="572">+TF24+TF25</f>
        <v>1372343048.0923336</v>
      </c>
      <c r="TG26" s="131"/>
    </row>
    <row r="27" spans="1:531" ht="8.25" customHeight="1">
      <c r="B27" s="111"/>
      <c r="C27" s="111"/>
      <c r="P27" s="111"/>
      <c r="Q27" s="111"/>
      <c r="AD27" s="111"/>
      <c r="AE27" s="111"/>
      <c r="AR27" s="111"/>
      <c r="AS27" s="111"/>
      <c r="BF27" s="111"/>
      <c r="BG27" s="111"/>
      <c r="BT27" s="111"/>
      <c r="BU27" s="111"/>
      <c r="CH27" s="111"/>
      <c r="CI27" s="111"/>
      <c r="CV27" s="111"/>
      <c r="CW27" s="111"/>
      <c r="DJ27" s="111"/>
      <c r="DK27" s="111"/>
      <c r="DX27" s="111"/>
      <c r="DY27" s="111"/>
      <c r="EL27" s="111"/>
      <c r="EM27" s="111"/>
      <c r="EZ27" s="111"/>
      <c r="FA27" s="111"/>
      <c r="FN27" s="111"/>
      <c r="FO27" s="111"/>
      <c r="GB27" s="111"/>
      <c r="GC27" s="111"/>
      <c r="GP27" s="111"/>
      <c r="GQ27" s="111"/>
      <c r="HD27" s="111"/>
      <c r="HE27" s="111"/>
      <c r="HR27" s="111"/>
      <c r="HS27" s="111"/>
      <c r="IF27" s="111"/>
      <c r="IG27" s="111"/>
      <c r="IT27" s="111"/>
      <c r="IU27" s="111"/>
      <c r="JH27" s="111"/>
      <c r="JI27" s="111"/>
      <c r="JV27" s="111"/>
      <c r="JW27" s="111"/>
      <c r="KJ27" s="111"/>
      <c r="KK27" s="111"/>
      <c r="KX27" s="111"/>
      <c r="KY27" s="111"/>
      <c r="LL27" s="111"/>
      <c r="LM27" s="111"/>
      <c r="LZ27" s="111"/>
      <c r="MA27" s="111"/>
      <c r="MN27" s="111"/>
      <c r="MO27" s="111"/>
      <c r="NB27" s="111"/>
      <c r="NC27" s="111"/>
      <c r="NP27" s="111"/>
      <c r="NQ27" s="111"/>
      <c r="OD27" s="111"/>
      <c r="OE27" s="111"/>
      <c r="OR27" s="111"/>
      <c r="OS27" s="111"/>
      <c r="PF27" s="111"/>
      <c r="PG27" s="111"/>
      <c r="PT27" s="111"/>
      <c r="PU27" s="111"/>
      <c r="QH27" s="111"/>
      <c r="QI27" s="111"/>
      <c r="QV27" s="111"/>
      <c r="QW27" s="111"/>
      <c r="RJ27" s="111"/>
      <c r="RK27" s="111"/>
      <c r="RX27" s="111"/>
      <c r="RY27" s="111"/>
      <c r="SL27" s="111"/>
      <c r="SM27" s="111"/>
      <c r="SZ27" s="111"/>
      <c r="TA27" s="111"/>
    </row>
    <row r="28" spans="1:531" ht="6" customHeight="1" thickBot="1">
      <c r="B28" s="111"/>
      <c r="C28" s="111"/>
      <c r="I28" s="121"/>
      <c r="P28" s="111"/>
      <c r="Q28" s="111"/>
      <c r="W28" s="121"/>
      <c r="AD28" s="111"/>
      <c r="AE28" s="111"/>
      <c r="AK28" s="121"/>
      <c r="AR28" s="111"/>
      <c r="AS28" s="111"/>
      <c r="AY28" s="121"/>
      <c r="BF28" s="111"/>
      <c r="BG28" s="111"/>
      <c r="BM28" s="121"/>
      <c r="BT28" s="111"/>
      <c r="BU28" s="111"/>
      <c r="CA28" s="121"/>
      <c r="CH28" s="111"/>
      <c r="CI28" s="111"/>
      <c r="CO28" s="121"/>
      <c r="CV28" s="111"/>
      <c r="CW28" s="111"/>
      <c r="DC28" s="121"/>
      <c r="DJ28" s="111"/>
      <c r="DK28" s="111"/>
      <c r="DQ28" s="121"/>
      <c r="DX28" s="111"/>
      <c r="DY28" s="111"/>
      <c r="EE28" s="121"/>
      <c r="EL28" s="111"/>
      <c r="EM28" s="111"/>
      <c r="ES28" s="121"/>
      <c r="EZ28" s="111"/>
      <c r="FA28" s="111"/>
      <c r="FG28" s="121"/>
      <c r="FN28" s="111"/>
      <c r="FO28" s="111"/>
      <c r="FU28" s="121"/>
      <c r="GB28" s="111"/>
      <c r="GC28" s="111"/>
      <c r="GI28" s="121"/>
      <c r="GP28" s="111"/>
      <c r="GQ28" s="111"/>
      <c r="GW28" s="121"/>
      <c r="HD28" s="111"/>
      <c r="HE28" s="111"/>
      <c r="HK28" s="121"/>
      <c r="HR28" s="111"/>
      <c r="HS28" s="111"/>
      <c r="HY28" s="121"/>
      <c r="IF28" s="111"/>
      <c r="IG28" s="111"/>
      <c r="IM28" s="121"/>
      <c r="IT28" s="111"/>
      <c r="IU28" s="111"/>
      <c r="JA28" s="121"/>
      <c r="JH28" s="111"/>
      <c r="JI28" s="111"/>
      <c r="JO28" s="121"/>
      <c r="JV28" s="111"/>
      <c r="JW28" s="111"/>
      <c r="KC28" s="121"/>
      <c r="KJ28" s="111"/>
      <c r="KK28" s="111"/>
      <c r="KQ28" s="121"/>
      <c r="KX28" s="111"/>
      <c r="KY28" s="111"/>
      <c r="LE28" s="121"/>
      <c r="LL28" s="111"/>
      <c r="LM28" s="111"/>
      <c r="LS28" s="121"/>
      <c r="LZ28" s="111"/>
      <c r="MA28" s="111"/>
      <c r="MG28" s="121"/>
      <c r="MN28" s="111"/>
      <c r="MO28" s="111"/>
      <c r="MU28" s="121"/>
      <c r="NB28" s="111"/>
      <c r="NC28" s="111"/>
      <c r="NI28" s="121"/>
      <c r="NP28" s="111"/>
      <c r="NQ28" s="111"/>
      <c r="NW28" s="121"/>
      <c r="OD28" s="111"/>
      <c r="OE28" s="111"/>
      <c r="OK28" s="121"/>
      <c r="OR28" s="111"/>
      <c r="OS28" s="111"/>
      <c r="OY28" s="121"/>
      <c r="PF28" s="111"/>
      <c r="PG28" s="111"/>
      <c r="PM28" s="121"/>
      <c r="PT28" s="111"/>
      <c r="PU28" s="111"/>
      <c r="QA28" s="121"/>
      <c r="QH28" s="111"/>
      <c r="QI28" s="111"/>
      <c r="QO28" s="121"/>
      <c r="QV28" s="111"/>
      <c r="QW28" s="111"/>
      <c r="RC28" s="121"/>
      <c r="RJ28" s="111"/>
      <c r="RK28" s="111"/>
      <c r="RQ28" s="121"/>
      <c r="RX28" s="111"/>
      <c r="RY28" s="111"/>
      <c r="SE28" s="121"/>
      <c r="SL28" s="111"/>
      <c r="SM28" s="111"/>
      <c r="SS28" s="121"/>
      <c r="SZ28" s="111"/>
      <c r="TA28" s="111"/>
      <c r="TG28" s="121"/>
    </row>
    <row r="29" spans="1:531" ht="48.75" customHeight="1" thickBot="1">
      <c r="B29" s="109" t="s">
        <v>1232</v>
      </c>
      <c r="C29" s="1220" t="s">
        <v>1219</v>
      </c>
      <c r="D29" s="1221"/>
      <c r="E29" s="1054" t="s">
        <v>1335</v>
      </c>
      <c r="F29" s="1054" t="s">
        <v>1333</v>
      </c>
      <c r="G29" s="462" t="s">
        <v>1334</v>
      </c>
      <c r="H29" s="478" t="s">
        <v>1332</v>
      </c>
      <c r="I29" s="122"/>
      <c r="P29" s="109" t="s">
        <v>1232</v>
      </c>
      <c r="Q29" s="1244" t="s">
        <v>1219</v>
      </c>
      <c r="R29" s="1245"/>
      <c r="S29" s="915" t="s">
        <v>1335</v>
      </c>
      <c r="T29" s="915" t="s">
        <v>1333</v>
      </c>
      <c r="U29" s="462" t="s">
        <v>1334</v>
      </c>
      <c r="V29" s="478" t="s">
        <v>1332</v>
      </c>
      <c r="W29" s="122"/>
      <c r="AD29" s="109" t="s">
        <v>1232</v>
      </c>
      <c r="AE29" s="1244" t="s">
        <v>1219</v>
      </c>
      <c r="AF29" s="1245"/>
      <c r="AG29" s="1037" t="s">
        <v>1335</v>
      </c>
      <c r="AH29" s="1037" t="s">
        <v>1333</v>
      </c>
      <c r="AI29" s="462" t="s">
        <v>1334</v>
      </c>
      <c r="AJ29" s="478" t="s">
        <v>1332</v>
      </c>
      <c r="AK29" s="122"/>
      <c r="AR29" s="109" t="s">
        <v>1232</v>
      </c>
      <c r="AS29" s="1244" t="s">
        <v>1219</v>
      </c>
      <c r="AT29" s="1245"/>
      <c r="AU29" s="1054" t="s">
        <v>1335</v>
      </c>
      <c r="AV29" s="1054" t="s">
        <v>1333</v>
      </c>
      <c r="AW29" s="462" t="s">
        <v>1334</v>
      </c>
      <c r="AX29" s="478" t="s">
        <v>1332</v>
      </c>
      <c r="AY29" s="122"/>
      <c r="BF29" s="109" t="s">
        <v>1232</v>
      </c>
      <c r="BG29" s="1244" t="s">
        <v>1219</v>
      </c>
      <c r="BH29" s="1245"/>
      <c r="BI29" s="1054" t="s">
        <v>1335</v>
      </c>
      <c r="BJ29" s="1054" t="s">
        <v>1333</v>
      </c>
      <c r="BK29" s="462" t="s">
        <v>1334</v>
      </c>
      <c r="BL29" s="478" t="s">
        <v>1332</v>
      </c>
      <c r="BM29" s="122"/>
      <c r="BT29" s="109" t="s">
        <v>1232</v>
      </c>
      <c r="BU29" s="1244" t="s">
        <v>1219</v>
      </c>
      <c r="BV29" s="1245"/>
      <c r="BW29" s="1054" t="s">
        <v>1335</v>
      </c>
      <c r="BX29" s="1054" t="s">
        <v>1333</v>
      </c>
      <c r="BY29" s="462" t="s">
        <v>1334</v>
      </c>
      <c r="BZ29" s="478" t="s">
        <v>1332</v>
      </c>
      <c r="CA29" s="122"/>
      <c r="CH29" s="109" t="s">
        <v>1232</v>
      </c>
      <c r="CI29" s="1244" t="s">
        <v>1219</v>
      </c>
      <c r="CJ29" s="1245"/>
      <c r="CK29" s="1054" t="s">
        <v>1335</v>
      </c>
      <c r="CL29" s="1054" t="s">
        <v>1333</v>
      </c>
      <c r="CM29" s="462" t="s">
        <v>1334</v>
      </c>
      <c r="CN29" s="478" t="s">
        <v>1332</v>
      </c>
      <c r="CO29" s="122"/>
      <c r="CV29" s="109" t="s">
        <v>1232</v>
      </c>
      <c r="CW29" s="1244" t="s">
        <v>1219</v>
      </c>
      <c r="CX29" s="1245"/>
      <c r="CY29" s="1054" t="s">
        <v>1335</v>
      </c>
      <c r="CZ29" s="1054" t="s">
        <v>1333</v>
      </c>
      <c r="DA29" s="462" t="s">
        <v>1334</v>
      </c>
      <c r="DB29" s="478" t="s">
        <v>1332</v>
      </c>
      <c r="DC29" s="122"/>
      <c r="DJ29" s="109" t="s">
        <v>1232</v>
      </c>
      <c r="DK29" s="1244" t="s">
        <v>1219</v>
      </c>
      <c r="DL29" s="1245"/>
      <c r="DM29" s="1054" t="s">
        <v>1335</v>
      </c>
      <c r="DN29" s="1054" t="s">
        <v>1333</v>
      </c>
      <c r="DO29" s="462" t="s">
        <v>1334</v>
      </c>
      <c r="DP29" s="478" t="s">
        <v>1332</v>
      </c>
      <c r="DQ29" s="122"/>
      <c r="DX29" s="109" t="s">
        <v>1232</v>
      </c>
      <c r="DY29" s="1244" t="s">
        <v>1219</v>
      </c>
      <c r="DZ29" s="1245"/>
      <c r="EA29" s="1054" t="s">
        <v>1335</v>
      </c>
      <c r="EB29" s="1054" t="s">
        <v>1333</v>
      </c>
      <c r="EC29" s="462" t="s">
        <v>1334</v>
      </c>
      <c r="ED29" s="478" t="s">
        <v>1332</v>
      </c>
      <c r="EE29" s="122"/>
      <c r="EL29" s="109" t="s">
        <v>1232</v>
      </c>
      <c r="EM29" s="1244" t="s">
        <v>1219</v>
      </c>
      <c r="EN29" s="1245"/>
      <c r="EO29" s="1054" t="s">
        <v>1335</v>
      </c>
      <c r="EP29" s="1054" t="s">
        <v>1333</v>
      </c>
      <c r="EQ29" s="462" t="s">
        <v>1334</v>
      </c>
      <c r="ER29" s="478" t="s">
        <v>1332</v>
      </c>
      <c r="ES29" s="122"/>
      <c r="EZ29" s="109" t="s">
        <v>1232</v>
      </c>
      <c r="FA29" s="1244" t="s">
        <v>1219</v>
      </c>
      <c r="FB29" s="1245"/>
      <c r="FC29" s="1054" t="s">
        <v>1335</v>
      </c>
      <c r="FD29" s="1054" t="s">
        <v>1333</v>
      </c>
      <c r="FE29" s="462" t="s">
        <v>1334</v>
      </c>
      <c r="FF29" s="478" t="s">
        <v>1332</v>
      </c>
      <c r="FG29" s="122"/>
      <c r="FN29" s="109" t="s">
        <v>1232</v>
      </c>
      <c r="FO29" s="1244" t="s">
        <v>1219</v>
      </c>
      <c r="FP29" s="1245"/>
      <c r="FQ29" s="1054" t="s">
        <v>1335</v>
      </c>
      <c r="FR29" s="1054" t="s">
        <v>1333</v>
      </c>
      <c r="FS29" s="462" t="s">
        <v>1334</v>
      </c>
      <c r="FT29" s="478" t="s">
        <v>1332</v>
      </c>
      <c r="FU29" s="122"/>
      <c r="GB29" s="109" t="s">
        <v>1232</v>
      </c>
      <c r="GC29" s="1244" t="s">
        <v>1219</v>
      </c>
      <c r="GD29" s="1245"/>
      <c r="GE29" s="1054" t="s">
        <v>1335</v>
      </c>
      <c r="GF29" s="1054" t="s">
        <v>1333</v>
      </c>
      <c r="GG29" s="462" t="s">
        <v>1334</v>
      </c>
      <c r="GH29" s="478" t="s">
        <v>1332</v>
      </c>
      <c r="GI29" s="122"/>
      <c r="GP29" s="109" t="s">
        <v>1232</v>
      </c>
      <c r="GQ29" s="1244" t="s">
        <v>1219</v>
      </c>
      <c r="GR29" s="1245"/>
      <c r="GS29" s="1054" t="s">
        <v>1335</v>
      </c>
      <c r="GT29" s="1054" t="s">
        <v>1333</v>
      </c>
      <c r="GU29" s="462" t="s">
        <v>1334</v>
      </c>
      <c r="GV29" s="478" t="s">
        <v>1332</v>
      </c>
      <c r="GW29" s="122"/>
      <c r="HD29" s="109" t="s">
        <v>1232</v>
      </c>
      <c r="HE29" s="1244" t="s">
        <v>1219</v>
      </c>
      <c r="HF29" s="1245"/>
      <c r="HG29" s="1054" t="s">
        <v>1335</v>
      </c>
      <c r="HH29" s="1054" t="s">
        <v>1333</v>
      </c>
      <c r="HI29" s="462" t="s">
        <v>1334</v>
      </c>
      <c r="HJ29" s="478" t="s">
        <v>1332</v>
      </c>
      <c r="HK29" s="122"/>
      <c r="HR29" s="109" t="s">
        <v>1232</v>
      </c>
      <c r="HS29" s="1244" t="s">
        <v>1219</v>
      </c>
      <c r="HT29" s="1245"/>
      <c r="HU29" s="1054" t="s">
        <v>1335</v>
      </c>
      <c r="HV29" s="1054" t="s">
        <v>1333</v>
      </c>
      <c r="HW29" s="462" t="s">
        <v>1334</v>
      </c>
      <c r="HX29" s="478" t="s">
        <v>1332</v>
      </c>
      <c r="HY29" s="122"/>
      <c r="IF29" s="109" t="s">
        <v>1232</v>
      </c>
      <c r="IG29" s="1244" t="s">
        <v>1219</v>
      </c>
      <c r="IH29" s="1245"/>
      <c r="II29" s="1054" t="s">
        <v>1335</v>
      </c>
      <c r="IJ29" s="1054" t="s">
        <v>1333</v>
      </c>
      <c r="IK29" s="462" t="s">
        <v>1334</v>
      </c>
      <c r="IL29" s="478" t="s">
        <v>1332</v>
      </c>
      <c r="IM29" s="122"/>
      <c r="IT29" s="109" t="s">
        <v>1232</v>
      </c>
      <c r="IU29" s="1244" t="s">
        <v>1219</v>
      </c>
      <c r="IV29" s="1245"/>
      <c r="IW29" s="1054" t="s">
        <v>1335</v>
      </c>
      <c r="IX29" s="1054" t="s">
        <v>1333</v>
      </c>
      <c r="IY29" s="462" t="s">
        <v>1334</v>
      </c>
      <c r="IZ29" s="478" t="s">
        <v>1332</v>
      </c>
      <c r="JA29" s="122"/>
      <c r="JH29" s="109" t="s">
        <v>1232</v>
      </c>
      <c r="JI29" s="1244" t="s">
        <v>1219</v>
      </c>
      <c r="JJ29" s="1245"/>
      <c r="JK29" s="1054" t="s">
        <v>1335</v>
      </c>
      <c r="JL29" s="1054" t="s">
        <v>1333</v>
      </c>
      <c r="JM29" s="462" t="s">
        <v>1334</v>
      </c>
      <c r="JN29" s="478" t="s">
        <v>1332</v>
      </c>
      <c r="JO29" s="122"/>
      <c r="JV29" s="109" t="s">
        <v>1232</v>
      </c>
      <c r="JW29" s="1244" t="s">
        <v>1219</v>
      </c>
      <c r="JX29" s="1245"/>
      <c r="JY29" s="1054" t="s">
        <v>1335</v>
      </c>
      <c r="JZ29" s="1054" t="s">
        <v>1333</v>
      </c>
      <c r="KA29" s="462" t="s">
        <v>1334</v>
      </c>
      <c r="KB29" s="478" t="s">
        <v>1332</v>
      </c>
      <c r="KC29" s="122"/>
      <c r="KJ29" s="109" t="s">
        <v>1232</v>
      </c>
      <c r="KK29" s="1244" t="s">
        <v>1219</v>
      </c>
      <c r="KL29" s="1245"/>
      <c r="KM29" s="1054" t="s">
        <v>1335</v>
      </c>
      <c r="KN29" s="1054" t="s">
        <v>1333</v>
      </c>
      <c r="KO29" s="462" t="s">
        <v>1334</v>
      </c>
      <c r="KP29" s="478" t="s">
        <v>1332</v>
      </c>
      <c r="KQ29" s="122"/>
      <c r="KX29" s="109" t="s">
        <v>1232</v>
      </c>
      <c r="KY29" s="1244" t="s">
        <v>1219</v>
      </c>
      <c r="KZ29" s="1245"/>
      <c r="LA29" s="1054" t="s">
        <v>1335</v>
      </c>
      <c r="LB29" s="1054" t="s">
        <v>1333</v>
      </c>
      <c r="LC29" s="462" t="s">
        <v>1334</v>
      </c>
      <c r="LD29" s="478" t="s">
        <v>1332</v>
      </c>
      <c r="LE29" s="122"/>
      <c r="LL29" s="109" t="s">
        <v>1232</v>
      </c>
      <c r="LM29" s="1244" t="s">
        <v>1219</v>
      </c>
      <c r="LN29" s="1245"/>
      <c r="LO29" s="1054" t="s">
        <v>1335</v>
      </c>
      <c r="LP29" s="1054" t="s">
        <v>1333</v>
      </c>
      <c r="LQ29" s="462" t="s">
        <v>1334</v>
      </c>
      <c r="LR29" s="478" t="s">
        <v>1332</v>
      </c>
      <c r="LS29" s="122"/>
      <c r="LZ29" s="109" t="s">
        <v>1232</v>
      </c>
      <c r="MA29" s="1244" t="s">
        <v>1219</v>
      </c>
      <c r="MB29" s="1245"/>
      <c r="MC29" s="1054" t="s">
        <v>1335</v>
      </c>
      <c r="MD29" s="1054" t="s">
        <v>1333</v>
      </c>
      <c r="ME29" s="462" t="s">
        <v>1334</v>
      </c>
      <c r="MF29" s="478" t="s">
        <v>1332</v>
      </c>
      <c r="MG29" s="122"/>
      <c r="MN29" s="109" t="s">
        <v>1232</v>
      </c>
      <c r="MO29" s="1244" t="s">
        <v>1219</v>
      </c>
      <c r="MP29" s="1245"/>
      <c r="MQ29" s="1054" t="s">
        <v>1335</v>
      </c>
      <c r="MR29" s="1054" t="s">
        <v>1333</v>
      </c>
      <c r="MS29" s="462" t="s">
        <v>1334</v>
      </c>
      <c r="MT29" s="478" t="s">
        <v>1332</v>
      </c>
      <c r="MU29" s="122"/>
      <c r="NB29" s="109" t="s">
        <v>1232</v>
      </c>
      <c r="NC29" s="1244" t="s">
        <v>1219</v>
      </c>
      <c r="ND29" s="1245"/>
      <c r="NE29" s="1054" t="s">
        <v>1335</v>
      </c>
      <c r="NF29" s="1054" t="s">
        <v>1333</v>
      </c>
      <c r="NG29" s="462" t="s">
        <v>1334</v>
      </c>
      <c r="NH29" s="478" t="s">
        <v>1332</v>
      </c>
      <c r="NI29" s="122"/>
      <c r="NP29" s="109" t="s">
        <v>1232</v>
      </c>
      <c r="NQ29" s="1244" t="s">
        <v>1219</v>
      </c>
      <c r="NR29" s="1245"/>
      <c r="NS29" s="1054" t="s">
        <v>1335</v>
      </c>
      <c r="NT29" s="1054" t="s">
        <v>1333</v>
      </c>
      <c r="NU29" s="462" t="s">
        <v>1334</v>
      </c>
      <c r="NV29" s="478" t="s">
        <v>1332</v>
      </c>
      <c r="NW29" s="122"/>
      <c r="OD29" s="109" t="s">
        <v>1232</v>
      </c>
      <c r="OE29" s="1244" t="s">
        <v>1219</v>
      </c>
      <c r="OF29" s="1245"/>
      <c r="OG29" s="1054" t="s">
        <v>1335</v>
      </c>
      <c r="OH29" s="1054" t="s">
        <v>1333</v>
      </c>
      <c r="OI29" s="462" t="s">
        <v>1334</v>
      </c>
      <c r="OJ29" s="478" t="s">
        <v>1332</v>
      </c>
      <c r="OK29" s="122"/>
      <c r="OR29" s="109" t="s">
        <v>1232</v>
      </c>
      <c r="OS29" s="1244" t="s">
        <v>1219</v>
      </c>
      <c r="OT29" s="1245"/>
      <c r="OU29" s="1054" t="s">
        <v>1335</v>
      </c>
      <c r="OV29" s="1054" t="s">
        <v>1333</v>
      </c>
      <c r="OW29" s="462" t="s">
        <v>1334</v>
      </c>
      <c r="OX29" s="478" t="s">
        <v>1332</v>
      </c>
      <c r="OY29" s="122"/>
      <c r="PF29" s="109" t="s">
        <v>1232</v>
      </c>
      <c r="PG29" s="1244" t="s">
        <v>1219</v>
      </c>
      <c r="PH29" s="1245"/>
      <c r="PI29" s="1054" t="s">
        <v>1335</v>
      </c>
      <c r="PJ29" s="1054" t="s">
        <v>1333</v>
      </c>
      <c r="PK29" s="462" t="s">
        <v>1334</v>
      </c>
      <c r="PL29" s="478" t="s">
        <v>1332</v>
      </c>
      <c r="PM29" s="122"/>
      <c r="PT29" s="109" t="s">
        <v>1232</v>
      </c>
      <c r="PU29" s="1244" t="s">
        <v>1219</v>
      </c>
      <c r="PV29" s="1245"/>
      <c r="PW29" s="1054" t="s">
        <v>1335</v>
      </c>
      <c r="PX29" s="1054" t="s">
        <v>1333</v>
      </c>
      <c r="PY29" s="462" t="s">
        <v>1334</v>
      </c>
      <c r="PZ29" s="478" t="s">
        <v>1332</v>
      </c>
      <c r="QA29" s="122"/>
      <c r="QH29" s="109" t="s">
        <v>1232</v>
      </c>
      <c r="QI29" s="1244" t="s">
        <v>1219</v>
      </c>
      <c r="QJ29" s="1245"/>
      <c r="QK29" s="1054" t="s">
        <v>1335</v>
      </c>
      <c r="QL29" s="1054" t="s">
        <v>1333</v>
      </c>
      <c r="QM29" s="462" t="s">
        <v>1334</v>
      </c>
      <c r="QN29" s="478" t="s">
        <v>1332</v>
      </c>
      <c r="QO29" s="122"/>
      <c r="QV29" s="109" t="s">
        <v>1232</v>
      </c>
      <c r="QW29" s="1244" t="s">
        <v>1219</v>
      </c>
      <c r="QX29" s="1245"/>
      <c r="QY29" s="1054" t="s">
        <v>1335</v>
      </c>
      <c r="QZ29" s="1054" t="s">
        <v>1333</v>
      </c>
      <c r="RA29" s="462" t="s">
        <v>1334</v>
      </c>
      <c r="RB29" s="478" t="s">
        <v>1332</v>
      </c>
      <c r="RC29" s="122"/>
      <c r="RJ29" s="109" t="s">
        <v>1232</v>
      </c>
      <c r="RK29" s="1244" t="s">
        <v>1219</v>
      </c>
      <c r="RL29" s="1245"/>
      <c r="RM29" s="1054" t="s">
        <v>1335</v>
      </c>
      <c r="RN29" s="1054" t="s">
        <v>1333</v>
      </c>
      <c r="RO29" s="462" t="s">
        <v>1334</v>
      </c>
      <c r="RP29" s="478" t="s">
        <v>1332</v>
      </c>
      <c r="RQ29" s="122"/>
      <c r="RX29" s="109" t="s">
        <v>1232</v>
      </c>
      <c r="RY29" s="1244" t="s">
        <v>1219</v>
      </c>
      <c r="RZ29" s="1245"/>
      <c r="SA29" s="1054" t="s">
        <v>1335</v>
      </c>
      <c r="SB29" s="1054" t="s">
        <v>1333</v>
      </c>
      <c r="SC29" s="462" t="s">
        <v>1334</v>
      </c>
      <c r="SD29" s="478" t="s">
        <v>1332</v>
      </c>
      <c r="SE29" s="122"/>
      <c r="SL29" s="109" t="s">
        <v>1232</v>
      </c>
      <c r="SM29" s="1244" t="s">
        <v>1219</v>
      </c>
      <c r="SN29" s="1245"/>
      <c r="SO29" s="1054" t="s">
        <v>1335</v>
      </c>
      <c r="SP29" s="1054" t="s">
        <v>1333</v>
      </c>
      <c r="SQ29" s="462" t="s">
        <v>1334</v>
      </c>
      <c r="SR29" s="478" t="s">
        <v>1332</v>
      </c>
      <c r="SS29" s="122"/>
      <c r="SZ29" s="109" t="s">
        <v>1232</v>
      </c>
      <c r="TA29" s="1244" t="s">
        <v>1219</v>
      </c>
      <c r="TB29" s="1245"/>
      <c r="TC29" s="915" t="s">
        <v>1335</v>
      </c>
      <c r="TD29" s="915" t="s">
        <v>1333</v>
      </c>
      <c r="TE29" s="462" t="s">
        <v>1334</v>
      </c>
      <c r="TF29" s="478" t="s">
        <v>1332</v>
      </c>
      <c r="TG29" s="122"/>
    </row>
    <row r="30" spans="1:531" ht="18" customHeight="1">
      <c r="B30" s="1213" t="s">
        <v>1340</v>
      </c>
      <c r="C30" s="906" t="s">
        <v>1331</v>
      </c>
      <c r="D30" s="463"/>
      <c r="E30" s="480">
        <f>+SUM(D16:D18)</f>
        <v>21.5</v>
      </c>
      <c r="F30" s="484">
        <f>+'Parametros Generales'!$J$7</f>
        <v>39324</v>
      </c>
      <c r="G30" s="481">
        <v>0</v>
      </c>
      <c r="H30" s="419">
        <f>+F30*E30*E11</f>
        <v>4227330</v>
      </c>
      <c r="I30" s="123"/>
      <c r="M30" s="936">
        <f>+H30/H65</f>
        <v>1.4481282300915009E-3</v>
      </c>
      <c r="P30" s="1246" t="s">
        <v>1340</v>
      </c>
      <c r="Q30" s="906" t="s">
        <v>1331</v>
      </c>
      <c r="R30" s="463"/>
      <c r="S30" s="480">
        <f t="shared" ref="S30" si="573">+SUM(R16:R18)</f>
        <v>5.7</v>
      </c>
      <c r="T30" s="484">
        <f>+'Parametros Generales'!$J$7</f>
        <v>39324</v>
      </c>
      <c r="U30" s="481">
        <v>0</v>
      </c>
      <c r="V30" s="419">
        <f t="shared" ref="V30" si="574">+T30*S30*S11</f>
        <v>1120734</v>
      </c>
      <c r="W30" s="123"/>
      <c r="AA30" s="936">
        <f t="shared" ref="AA30" si="575">+V30/V65</f>
        <v>1.6328438128085415E-3</v>
      </c>
      <c r="AD30" s="1246" t="s">
        <v>1340</v>
      </c>
      <c r="AE30" s="906" t="s">
        <v>1331</v>
      </c>
      <c r="AF30" s="463"/>
      <c r="AG30" s="480">
        <f t="shared" ref="AG30:AG31" si="576">+S30+E30</f>
        <v>27.2</v>
      </c>
      <c r="AH30" s="484">
        <f>+'Parametros Generales'!$J$7</f>
        <v>39324</v>
      </c>
      <c r="AI30" s="481">
        <v>0</v>
      </c>
      <c r="AJ30" s="419">
        <f t="shared" ref="AJ30" si="577">+AH30*AG30*AG11</f>
        <v>5348064</v>
      </c>
      <c r="AK30" s="123"/>
      <c r="AO30" s="936">
        <f t="shared" ref="AO30" si="578">+AJ30/AJ65</f>
        <v>1.4832916737245487E-3</v>
      </c>
      <c r="AR30" s="1246" t="s">
        <v>1340</v>
      </c>
      <c r="AS30" s="906" t="s">
        <v>1331</v>
      </c>
      <c r="AT30" s="463"/>
      <c r="AU30" s="480">
        <f t="shared" ref="AU30" si="579">+SUM(AT16:AT18)</f>
        <v>8.6</v>
      </c>
      <c r="AV30" s="484">
        <f>+'Parametros Generales'!$J$7</f>
        <v>39324</v>
      </c>
      <c r="AW30" s="481">
        <v>0</v>
      </c>
      <c r="AX30" s="419">
        <f t="shared" ref="AX30" si="580">+AV30*AU30*AU11</f>
        <v>1690931.9999999998</v>
      </c>
      <c r="AY30" s="123"/>
      <c r="BC30" s="936">
        <f t="shared" ref="BC30" si="581">+AX30/AX65</f>
        <v>1.6243414052675607E-3</v>
      </c>
      <c r="BF30" s="1246" t="s">
        <v>1340</v>
      </c>
      <c r="BG30" s="906" t="s">
        <v>1331</v>
      </c>
      <c r="BH30" s="463"/>
      <c r="BI30" s="480">
        <f t="shared" ref="BI30" si="582">+SUM(BH16:BH18)</f>
        <v>11.725</v>
      </c>
      <c r="BJ30" s="484">
        <f>+'Parametros Generales'!$J$7</f>
        <v>39324</v>
      </c>
      <c r="BK30" s="481">
        <v>0</v>
      </c>
      <c r="BL30" s="419">
        <f t="shared" ref="BL30" si="583">+BJ30*BI30*BI11</f>
        <v>2305369.5</v>
      </c>
      <c r="BM30" s="123"/>
      <c r="BQ30" s="936">
        <f t="shared" ref="BQ30" si="584">+BL30/BL65</f>
        <v>1.5436673224410859E-3</v>
      </c>
      <c r="BT30" s="1246" t="s">
        <v>1340</v>
      </c>
      <c r="BU30" s="906" t="s">
        <v>1331</v>
      </c>
      <c r="BV30" s="463"/>
      <c r="BW30" s="480">
        <f t="shared" ref="BW30" si="585">+SUM(BV16:BV18)</f>
        <v>10.35</v>
      </c>
      <c r="BX30" s="484">
        <f>+'Parametros Generales'!$J$7</f>
        <v>39324</v>
      </c>
      <c r="BY30" s="481">
        <v>0</v>
      </c>
      <c r="BZ30" s="419">
        <f t="shared" ref="BZ30" si="586">+BX30*BW30*BW11</f>
        <v>2035016.9999999998</v>
      </c>
      <c r="CA30" s="123"/>
      <c r="CE30" s="936">
        <f t="shared" ref="CE30" si="587">+BZ30/BZ65</f>
        <v>1.5927662269495744E-3</v>
      </c>
      <c r="CH30" s="1246" t="s">
        <v>1340</v>
      </c>
      <c r="CI30" s="906" t="s">
        <v>1331</v>
      </c>
      <c r="CJ30" s="463"/>
      <c r="CK30" s="480">
        <f t="shared" ref="CK30" si="588">+SUM(CJ16:CJ18)</f>
        <v>10.475</v>
      </c>
      <c r="CL30" s="484">
        <f>+'Parametros Generales'!$J$7</f>
        <v>39324</v>
      </c>
      <c r="CM30" s="481">
        <v>0</v>
      </c>
      <c r="CN30" s="419">
        <f t="shared" ref="CN30" si="589">+CL30*CK30*CK11</f>
        <v>2059594.4999999998</v>
      </c>
      <c r="CO30" s="123"/>
      <c r="CS30" s="936">
        <f t="shared" ref="CS30" si="590">+CN30/CN65</f>
        <v>1.6126761081724803E-3</v>
      </c>
      <c r="CV30" s="1246" t="s">
        <v>1340</v>
      </c>
      <c r="CW30" s="906" t="s">
        <v>1331</v>
      </c>
      <c r="CX30" s="463"/>
      <c r="CY30" s="480">
        <f t="shared" ref="CY30" si="591">+SUM(CX16:CX18)</f>
        <v>5.95</v>
      </c>
      <c r="CZ30" s="484">
        <f>+'Parametros Generales'!$J$7</f>
        <v>39324</v>
      </c>
      <c r="DA30" s="481">
        <v>0</v>
      </c>
      <c r="DB30" s="419">
        <f t="shared" ref="DB30" si="592">+CZ30*CY30*CY11</f>
        <v>1169889</v>
      </c>
      <c r="DC30" s="123"/>
      <c r="DG30" s="936">
        <f t="shared" ref="DG30" si="593">+DB30/DB65</f>
        <v>1.6700657345102711E-3</v>
      </c>
      <c r="DJ30" s="1246" t="s">
        <v>1340</v>
      </c>
      <c r="DK30" s="906" t="s">
        <v>1331</v>
      </c>
      <c r="DL30" s="463"/>
      <c r="DM30" s="480">
        <f t="shared" ref="DM30" si="594">+SUM(DL16:DL18)</f>
        <v>11.1</v>
      </c>
      <c r="DN30" s="484">
        <f>+'Parametros Generales'!$J$7</f>
        <v>39324</v>
      </c>
      <c r="DO30" s="481">
        <v>0</v>
      </c>
      <c r="DP30" s="419">
        <f t="shared" ref="DP30" si="595">+DN30*DM30*DM11</f>
        <v>2182482</v>
      </c>
      <c r="DQ30" s="123"/>
      <c r="DU30" s="936">
        <f t="shared" ref="DU30" si="596">+DP30/DP65</f>
        <v>1.5325139817654219E-3</v>
      </c>
      <c r="DX30" s="1246" t="s">
        <v>1340</v>
      </c>
      <c r="DY30" s="906" t="s">
        <v>1331</v>
      </c>
      <c r="DZ30" s="463"/>
      <c r="EA30" s="480">
        <f t="shared" ref="EA30" si="597">+SUM(DZ16:DZ18)</f>
        <v>8.4749999999999996</v>
      </c>
      <c r="EB30" s="484">
        <f>+'Parametros Generales'!$J$7</f>
        <v>39324</v>
      </c>
      <c r="EC30" s="481">
        <v>0</v>
      </c>
      <c r="ED30" s="419">
        <f t="shared" ref="ED30" si="598">+EB30*EA30*EA11</f>
        <v>1666354.4999999998</v>
      </c>
      <c r="EE30" s="123"/>
      <c r="EI30" s="936">
        <f t="shared" ref="EI30" si="599">+ED30/ED65</f>
        <v>1.6290527905383928E-3</v>
      </c>
      <c r="EL30" s="1246" t="s">
        <v>1340</v>
      </c>
      <c r="EM30" s="906" t="s">
        <v>1331</v>
      </c>
      <c r="EN30" s="463"/>
      <c r="EO30" s="480">
        <f t="shared" ref="EO30" si="600">+SUM(EN16:EN18)</f>
        <v>11.475</v>
      </c>
      <c r="EP30" s="484">
        <f>+'Parametros Generales'!$J$7</f>
        <v>39324</v>
      </c>
      <c r="EQ30" s="481">
        <v>0</v>
      </c>
      <c r="ER30" s="419">
        <f t="shared" ref="ER30" si="601">+EP30*EO30*EO11</f>
        <v>2256214.5</v>
      </c>
      <c r="ES30" s="123"/>
      <c r="EW30" s="936">
        <f t="shared" ref="EW30" si="602">+ER30/ER65</f>
        <v>1.5482777514475136E-3</v>
      </c>
      <c r="EZ30" s="1246" t="s">
        <v>1340</v>
      </c>
      <c r="FA30" s="906" t="s">
        <v>1331</v>
      </c>
      <c r="FB30" s="463"/>
      <c r="FC30" s="480">
        <f t="shared" ref="FC30" si="603">+SUM(FB16:FB18)</f>
        <v>12.225</v>
      </c>
      <c r="FD30" s="484">
        <f>+'Parametros Generales'!$J$7</f>
        <v>39324</v>
      </c>
      <c r="FE30" s="481">
        <v>0</v>
      </c>
      <c r="FF30" s="419">
        <f t="shared" ref="FF30" si="604">+FD30*FC30*FC11</f>
        <v>2403679.5</v>
      </c>
      <c r="FG30" s="123"/>
      <c r="FK30" s="936">
        <f t="shared" ref="FK30" si="605">+FF30/FF65</f>
        <v>1.5333814573846225E-3</v>
      </c>
      <c r="FN30" s="1246" t="s">
        <v>1340</v>
      </c>
      <c r="FO30" s="906" t="s">
        <v>1331</v>
      </c>
      <c r="FP30" s="463"/>
      <c r="FQ30" s="480">
        <f t="shared" ref="FQ30" si="606">+SUM(FP16:FP18)</f>
        <v>9.2874999999999996</v>
      </c>
      <c r="FR30" s="484">
        <f>+'Parametros Generales'!$J$7</f>
        <v>39324</v>
      </c>
      <c r="FS30" s="481">
        <v>0</v>
      </c>
      <c r="FT30" s="419">
        <f t="shared" ref="FT30" si="607">+FR30*FQ30*FQ11</f>
        <v>1826108.2499999998</v>
      </c>
      <c r="FU30" s="123"/>
      <c r="FY30" s="936">
        <f t="shared" ref="FY30" si="608">+FT30/FT65</f>
        <v>1.6011014186484921E-3</v>
      </c>
      <c r="GB30" s="1246" t="s">
        <v>1340</v>
      </c>
      <c r="GC30" s="906" t="s">
        <v>1331</v>
      </c>
      <c r="GD30" s="463"/>
      <c r="GE30" s="480">
        <f t="shared" ref="GE30" si="609">+SUM(GD16:GD18)</f>
        <v>7.2625000000000002</v>
      </c>
      <c r="GF30" s="484">
        <f>+'Parametros Generales'!$J$7</f>
        <v>39324</v>
      </c>
      <c r="GG30" s="481">
        <v>0</v>
      </c>
      <c r="GH30" s="419">
        <f t="shared" ref="GH30" si="610">+GF30*GE30*GE11</f>
        <v>1427952.75</v>
      </c>
      <c r="GI30" s="123"/>
      <c r="GM30" s="936">
        <f t="shared" ref="GM30" si="611">+GH30/GH65</f>
        <v>1.61940730254752E-3</v>
      </c>
      <c r="GP30" s="1246" t="s">
        <v>1340</v>
      </c>
      <c r="GQ30" s="906" t="s">
        <v>1331</v>
      </c>
      <c r="GR30" s="463"/>
      <c r="GS30" s="480">
        <f t="shared" ref="GS30" si="612">+SUM(GR16:GR18)</f>
        <v>4.95</v>
      </c>
      <c r="GT30" s="484">
        <f>+'Parametros Generales'!$J$7</f>
        <v>39324</v>
      </c>
      <c r="GU30" s="481">
        <v>0</v>
      </c>
      <c r="GV30" s="419">
        <f t="shared" ref="GV30" si="613">+GT30*GS30*GS11</f>
        <v>973269.00000000012</v>
      </c>
      <c r="GW30" s="123"/>
      <c r="HA30" s="936">
        <f t="shared" ref="HA30" si="614">+GV30/GV65</f>
        <v>1.7646152245732643E-3</v>
      </c>
      <c r="HD30" s="1246" t="s">
        <v>1340</v>
      </c>
      <c r="HE30" s="906" t="s">
        <v>1331</v>
      </c>
      <c r="HF30" s="463"/>
      <c r="HG30" s="480">
        <f t="shared" ref="HG30" si="615">+SUM(HF16:HF18)</f>
        <v>14</v>
      </c>
      <c r="HH30" s="484">
        <f>+'Parametros Generales'!$J$7</f>
        <v>39324</v>
      </c>
      <c r="HI30" s="481">
        <v>0</v>
      </c>
      <c r="HJ30" s="419">
        <f t="shared" ref="HJ30" si="616">+HH30*HG30*HG11</f>
        <v>2752680</v>
      </c>
      <c r="HK30" s="123"/>
      <c r="HO30" s="936">
        <f t="shared" ref="HO30" si="617">+HJ30/HJ65</f>
        <v>1.5536211833145595E-3</v>
      </c>
      <c r="HR30" s="1246" t="s">
        <v>1340</v>
      </c>
      <c r="HS30" s="906" t="s">
        <v>1331</v>
      </c>
      <c r="HT30" s="463"/>
      <c r="HU30" s="480">
        <f t="shared" ref="HU30" si="618">+SUM(HT16:HT18)</f>
        <v>5.45</v>
      </c>
      <c r="HV30" s="484">
        <f>+'Parametros Generales'!$J$7</f>
        <v>39324</v>
      </c>
      <c r="HW30" s="481">
        <v>0</v>
      </c>
      <c r="HX30" s="419">
        <f t="shared" ref="HX30" si="619">+HV30*HU30*HU11</f>
        <v>1071579</v>
      </c>
      <c r="HY30" s="123"/>
      <c r="IC30" s="936">
        <f t="shared" ref="IC30" si="620">+HX30/HX65</f>
        <v>1.7218637595655944E-3</v>
      </c>
      <c r="IF30" s="1246" t="s">
        <v>1340</v>
      </c>
      <c r="IG30" s="906" t="s">
        <v>1331</v>
      </c>
      <c r="IH30" s="463"/>
      <c r="II30" s="480">
        <f t="shared" ref="II30" si="621">+SUM(IH16:IH18)</f>
        <v>3.95</v>
      </c>
      <c r="IJ30" s="484">
        <f>+'Parametros Generales'!$J$7</f>
        <v>39324</v>
      </c>
      <c r="IK30" s="481">
        <v>0</v>
      </c>
      <c r="IL30" s="419">
        <f t="shared" ref="IL30" si="622">+IJ30*II30*II11</f>
        <v>776649.00000000012</v>
      </c>
      <c r="IM30" s="123"/>
      <c r="IQ30" s="936">
        <f t="shared" ref="IQ30" si="623">+IL30/IL65</f>
        <v>1.8553282414595113E-3</v>
      </c>
      <c r="IT30" s="1246" t="s">
        <v>1340</v>
      </c>
      <c r="IU30" s="906" t="s">
        <v>1331</v>
      </c>
      <c r="IV30" s="463"/>
      <c r="IW30" s="480">
        <f t="shared" ref="IW30" si="624">+SUM(IV16:IV18)</f>
        <v>19.75</v>
      </c>
      <c r="IX30" s="484">
        <f>+'Parametros Generales'!$J$7</f>
        <v>39324</v>
      </c>
      <c r="IY30" s="481">
        <v>0</v>
      </c>
      <c r="IZ30" s="419">
        <f t="shared" ref="IZ30" si="625">+IX30*IW30*IW11</f>
        <v>3883245</v>
      </c>
      <c r="JA30" s="123"/>
      <c r="JE30" s="936">
        <f t="shared" ref="JE30" si="626">+IZ30/IZ65</f>
        <v>1.4918013472949973E-3</v>
      </c>
      <c r="JH30" s="1246" t="s">
        <v>1340</v>
      </c>
      <c r="JI30" s="906" t="s">
        <v>1331</v>
      </c>
      <c r="JJ30" s="463"/>
      <c r="JK30" s="480">
        <f t="shared" ref="JK30:JK34" si="627">+IW30+II30</f>
        <v>23.7</v>
      </c>
      <c r="JL30" s="484">
        <f>+'Parametros Generales'!$J$7</f>
        <v>39324</v>
      </c>
      <c r="JM30" s="481">
        <v>0</v>
      </c>
      <c r="JN30" s="419">
        <f t="shared" ref="JN30" si="628">+JL30*JK30*JK11</f>
        <v>4659894</v>
      </c>
      <c r="JO30" s="123"/>
      <c r="JS30" s="936">
        <f t="shared" ref="JS30" si="629">+JN30/JN65</f>
        <v>1.5421623821190449E-3</v>
      </c>
      <c r="JV30" s="1246" t="s">
        <v>1340</v>
      </c>
      <c r="JW30" s="906" t="s">
        <v>1331</v>
      </c>
      <c r="JX30" s="463"/>
      <c r="JY30" s="480">
        <f t="shared" ref="JY30" si="630">+SUM(JX16:JX18)</f>
        <v>7.0750000000000002</v>
      </c>
      <c r="JZ30" s="484">
        <f>+'Parametros Generales'!$J$7</f>
        <v>39324</v>
      </c>
      <c r="KA30" s="481">
        <v>0</v>
      </c>
      <c r="KB30" s="419">
        <f t="shared" ref="KB30" si="631">+JZ30*JY30*JY11</f>
        <v>1391086.5</v>
      </c>
      <c r="KC30" s="123"/>
      <c r="KG30" s="936">
        <f t="shared" ref="KG30" si="632">+KB30/KB65</f>
        <v>1.5861311247303792E-3</v>
      </c>
      <c r="KJ30" s="1246" t="s">
        <v>1340</v>
      </c>
      <c r="KK30" s="906" t="s">
        <v>1331</v>
      </c>
      <c r="KL30" s="463"/>
      <c r="KM30" s="480">
        <f t="shared" ref="KM30" si="633">+SUM(KL16:KL18)</f>
        <v>4.7</v>
      </c>
      <c r="KN30" s="484">
        <f>+'Parametros Generales'!$J$7</f>
        <v>39324</v>
      </c>
      <c r="KO30" s="481">
        <v>0</v>
      </c>
      <c r="KP30" s="419">
        <f t="shared" ref="KP30" si="634">+KN30*KM30*KM11</f>
        <v>924114.00000000012</v>
      </c>
      <c r="KQ30" s="123"/>
      <c r="KU30" s="936">
        <f t="shared" ref="KU30" si="635">+KP30/KP65</f>
        <v>1.75227532037113E-3</v>
      </c>
      <c r="KX30" s="1246" t="s">
        <v>1340</v>
      </c>
      <c r="KY30" s="906" t="s">
        <v>1331</v>
      </c>
      <c r="KZ30" s="463"/>
      <c r="LA30" s="480">
        <f t="shared" ref="LA30" si="636">+SUM(KZ16:KZ18)</f>
        <v>4.0750000000000002</v>
      </c>
      <c r="LB30" s="484">
        <f>+'Parametros Generales'!$J$7</f>
        <v>39324</v>
      </c>
      <c r="LC30" s="481">
        <v>0</v>
      </c>
      <c r="LD30" s="419">
        <f t="shared" ref="LD30" si="637">+LB30*LA30*LA11</f>
        <v>801226.50000000012</v>
      </c>
      <c r="LE30" s="123"/>
      <c r="LI30" s="936">
        <f t="shared" ref="LI30" si="638">+LD30/LD65</f>
        <v>1.8676248684214363E-3</v>
      </c>
      <c r="LL30" s="1246" t="s">
        <v>1340</v>
      </c>
      <c r="LM30" s="906" t="s">
        <v>1331</v>
      </c>
      <c r="LN30" s="463"/>
      <c r="LO30" s="480">
        <f t="shared" ref="LO30" si="639">+SUM(LN16:LN18)</f>
        <v>9.1624999999999996</v>
      </c>
      <c r="LP30" s="484">
        <f>+'Parametros Generales'!$J$7</f>
        <v>39324</v>
      </c>
      <c r="LQ30" s="481">
        <v>0</v>
      </c>
      <c r="LR30" s="419">
        <f t="shared" ref="LR30" si="640">+LP30*LO30*LO11</f>
        <v>1801530.7499999998</v>
      </c>
      <c r="LS30" s="123"/>
      <c r="LW30" s="936">
        <f t="shared" ref="LW30" si="641">+LR30/LR65</f>
        <v>1.6050202886717538E-3</v>
      </c>
      <c r="LZ30" s="1246" t="s">
        <v>1340</v>
      </c>
      <c r="MA30" s="906" t="s">
        <v>1331</v>
      </c>
      <c r="MB30" s="463"/>
      <c r="MC30" s="480">
        <f t="shared" ref="MC30" si="642">+SUM(MB16:MB18)</f>
        <v>9.1</v>
      </c>
      <c r="MD30" s="484">
        <f>+'Parametros Generales'!$J$7</f>
        <v>39324</v>
      </c>
      <c r="ME30" s="481">
        <v>0</v>
      </c>
      <c r="MF30" s="419">
        <f t="shared" ref="MF30" si="643">+MD30*MC30*MC11</f>
        <v>1789241.9999999998</v>
      </c>
      <c r="MG30" s="123"/>
      <c r="MK30" s="936">
        <f t="shared" ref="MK30" si="644">+MF30/MF65</f>
        <v>1.6070274984507998E-3</v>
      </c>
      <c r="MN30" s="1246" t="s">
        <v>1340</v>
      </c>
      <c r="MO30" s="906" t="s">
        <v>1331</v>
      </c>
      <c r="MP30" s="463"/>
      <c r="MQ30" s="480">
        <f t="shared" ref="MQ30" si="645">+SUM(MP16:MP18)</f>
        <v>9.4749999999999996</v>
      </c>
      <c r="MR30" s="484">
        <f>+'Parametros Generales'!$J$7</f>
        <v>39324</v>
      </c>
      <c r="MS30" s="481">
        <v>0</v>
      </c>
      <c r="MT30" s="419">
        <f t="shared" ref="MT30" si="646">+MR30*MQ30*MQ11</f>
        <v>1862974.4999999998</v>
      </c>
      <c r="MU30" s="123"/>
      <c r="MY30" s="936">
        <f t="shared" ref="MY30" si="647">+MT30/MT65</f>
        <v>1.6351962121041496E-3</v>
      </c>
      <c r="NB30" s="1246" t="s">
        <v>1340</v>
      </c>
      <c r="NC30" s="906" t="s">
        <v>1331</v>
      </c>
      <c r="ND30" s="463"/>
      <c r="NE30" s="480">
        <f t="shared" ref="NE30" si="648">+SUM(ND16:ND18)</f>
        <v>16.6875</v>
      </c>
      <c r="NF30" s="484">
        <f>+'Parametros Generales'!$J$7</f>
        <v>39324</v>
      </c>
      <c r="NG30" s="481">
        <v>0</v>
      </c>
      <c r="NH30" s="419">
        <f t="shared" ref="NH30" si="649">+NF30*NE30*NE11</f>
        <v>3281096.25</v>
      </c>
      <c r="NI30" s="123"/>
      <c r="NM30" s="936">
        <f t="shared" ref="NM30" si="650">+NH30/NH65</f>
        <v>1.5048231510270955E-3</v>
      </c>
      <c r="NP30" s="1246" t="s">
        <v>1340</v>
      </c>
      <c r="NQ30" s="906" t="s">
        <v>1331</v>
      </c>
      <c r="NR30" s="463"/>
      <c r="NS30" s="480">
        <f t="shared" ref="NS30" si="651">+SUM(NR16:NR18)</f>
        <v>3.1749999999999998</v>
      </c>
      <c r="NT30" s="484">
        <f>+'Parametros Generales'!$J$7</f>
        <v>39324</v>
      </c>
      <c r="NU30" s="481">
        <v>0</v>
      </c>
      <c r="NV30" s="419">
        <f t="shared" ref="NV30" si="652">+NT30*NS30*NS11</f>
        <v>624268.5</v>
      </c>
      <c r="NW30" s="123"/>
      <c r="OA30" s="936">
        <f t="shared" ref="OA30" si="653">+NV30/NV65</f>
        <v>1.7985664161821798E-3</v>
      </c>
      <c r="OD30" s="1246" t="s">
        <v>1340</v>
      </c>
      <c r="OE30" s="906" t="s">
        <v>1331</v>
      </c>
      <c r="OF30" s="463"/>
      <c r="OG30" s="480">
        <f t="shared" ref="OG30" si="654">+SUM(OF16:OF18)</f>
        <v>4.2</v>
      </c>
      <c r="OH30" s="484">
        <f>+'Parametros Generales'!$J$7</f>
        <v>39324</v>
      </c>
      <c r="OI30" s="481">
        <v>0</v>
      </c>
      <c r="OJ30" s="419">
        <f t="shared" ref="OJ30" si="655">+OH30*OG30*OG11</f>
        <v>825804.00000000012</v>
      </c>
      <c r="OK30" s="123"/>
      <c r="OO30" s="936">
        <f t="shared" ref="OO30" si="656">+OJ30/OJ65</f>
        <v>1.8255516659095572E-3</v>
      </c>
      <c r="OR30" s="1246" t="s">
        <v>1340</v>
      </c>
      <c r="OS30" s="906" t="s">
        <v>1331</v>
      </c>
      <c r="OT30" s="463"/>
      <c r="OU30" s="480">
        <f t="shared" ref="OU30" si="657">+SUM(OT16:OT18)</f>
        <v>5.0750000000000002</v>
      </c>
      <c r="OV30" s="484">
        <f>+'Parametros Generales'!$J$7</f>
        <v>39324</v>
      </c>
      <c r="OW30" s="481">
        <v>0</v>
      </c>
      <c r="OX30" s="419">
        <f t="shared" ref="OX30" si="658">+OV30*OU30*OU11</f>
        <v>997846.50000000012</v>
      </c>
      <c r="OY30" s="123"/>
      <c r="PC30" s="936">
        <f t="shared" ref="PC30" si="659">+OX30/OX65</f>
        <v>1.7460029290550926E-3</v>
      </c>
      <c r="PF30" s="1246" t="s">
        <v>1340</v>
      </c>
      <c r="PG30" s="906" t="s">
        <v>1331</v>
      </c>
      <c r="PH30" s="463"/>
      <c r="PI30" s="480">
        <f t="shared" ref="PI30" si="660">+SUM(PH16:PH18)</f>
        <v>1.7375</v>
      </c>
      <c r="PJ30" s="484">
        <f>+'Parametros Generales'!$J$7</f>
        <v>39324</v>
      </c>
      <c r="PK30" s="481">
        <v>0</v>
      </c>
      <c r="PL30" s="419">
        <f t="shared" ref="PL30" si="661">+PJ30*PI30*PI11</f>
        <v>341627.25</v>
      </c>
      <c r="PM30" s="123"/>
      <c r="PQ30" s="936">
        <f t="shared" ref="PQ30" si="662">+PL30/PL65</f>
        <v>2.3506834896727699E-3</v>
      </c>
      <c r="PT30" s="1246" t="s">
        <v>1340</v>
      </c>
      <c r="PU30" s="906" t="s">
        <v>1331</v>
      </c>
      <c r="PV30" s="463"/>
      <c r="PW30" s="480">
        <f t="shared" ref="PW30" si="663">+SUM(PV16:PV18)</f>
        <v>2.2999999999999998</v>
      </c>
      <c r="PX30" s="484">
        <f>+'Parametros Generales'!$J$7</f>
        <v>39324</v>
      </c>
      <c r="PY30" s="481">
        <v>0</v>
      </c>
      <c r="PZ30" s="419">
        <f t="shared" ref="PZ30" si="664">+PX30*PW30*PW11</f>
        <v>452226</v>
      </c>
      <c r="QA30" s="123"/>
      <c r="QE30" s="936">
        <f t="shared" ref="QE30" si="665">+PZ30/PZ65</f>
        <v>2.0163359326793723E-3</v>
      </c>
      <c r="QH30" s="1246" t="s">
        <v>1340</v>
      </c>
      <c r="QI30" s="906" t="s">
        <v>1331</v>
      </c>
      <c r="QJ30" s="463"/>
      <c r="QK30" s="480">
        <f t="shared" ref="QK30" si="666">+SUM(QJ16:QJ18)</f>
        <v>1.3</v>
      </c>
      <c r="QL30" s="484">
        <f>+'Parametros Generales'!$J$7</f>
        <v>39324</v>
      </c>
      <c r="QM30" s="481">
        <v>0</v>
      </c>
      <c r="QN30" s="419">
        <f t="shared" ref="QN30" si="667">+QL30*QK30*QK11</f>
        <v>255606.00000000003</v>
      </c>
      <c r="QO30" s="123"/>
      <c r="QS30" s="936">
        <f t="shared" ref="QS30" si="668">+QN30/QN65</f>
        <v>3.0456321605923774E-3</v>
      </c>
      <c r="QV30" s="1246" t="s">
        <v>1340</v>
      </c>
      <c r="QW30" s="906" t="s">
        <v>1331</v>
      </c>
      <c r="QX30" s="463"/>
      <c r="QY30" s="480">
        <f t="shared" ref="QY30" si="669">+SUM(QX16:QX18)</f>
        <v>2.0499999999999998</v>
      </c>
      <c r="QZ30" s="484">
        <f>+'Parametros Generales'!$J$7</f>
        <v>39324</v>
      </c>
      <c r="RA30" s="481">
        <v>0</v>
      </c>
      <c r="RB30" s="419">
        <f t="shared" ref="RB30" si="670">+QZ30*QY30*QY11</f>
        <v>403071</v>
      </c>
      <c r="RC30" s="123"/>
      <c r="RG30" s="936">
        <f t="shared" ref="RG30" si="671">+RB30/RB65</f>
        <v>2.1304845958719483E-3</v>
      </c>
      <c r="RJ30" s="1246" t="s">
        <v>1340</v>
      </c>
      <c r="RK30" s="906" t="s">
        <v>1331</v>
      </c>
      <c r="RL30" s="463"/>
      <c r="RM30" s="480">
        <f t="shared" ref="RM30" si="672">+SUM(RL16:RL18)</f>
        <v>1.3</v>
      </c>
      <c r="RN30" s="484">
        <f>+'Parametros Generales'!$J$7</f>
        <v>39324</v>
      </c>
      <c r="RO30" s="481">
        <v>0</v>
      </c>
      <c r="RP30" s="419">
        <f t="shared" ref="RP30" si="673">+RN30*RM30*RM11</f>
        <v>255606.00000000003</v>
      </c>
      <c r="RQ30" s="123"/>
      <c r="RU30" s="936">
        <f t="shared" ref="RU30" si="674">+RP30/RP65</f>
        <v>3.0374718067832239E-3</v>
      </c>
      <c r="RX30" s="1246" t="s">
        <v>1340</v>
      </c>
      <c r="RY30" s="906" t="s">
        <v>1331</v>
      </c>
      <c r="RZ30" s="463"/>
      <c r="SA30" s="480">
        <f t="shared" ref="SA30" si="675">+SUM(RZ16:RZ18)</f>
        <v>1.6125</v>
      </c>
      <c r="SB30" s="484">
        <f>+'Parametros Generales'!$J$7</f>
        <v>39324</v>
      </c>
      <c r="SC30" s="481">
        <v>0</v>
      </c>
      <c r="SD30" s="419">
        <f t="shared" ref="SD30" si="676">+SB30*SA30*SA11</f>
        <v>317049.75</v>
      </c>
      <c r="SE30" s="123"/>
      <c r="SI30" s="936">
        <f t="shared" ref="SI30" si="677">+SD30/SD65</f>
        <v>2.4810881328166446E-3</v>
      </c>
      <c r="SL30" s="1246" t="s">
        <v>1340</v>
      </c>
      <c r="SM30" s="906" t="s">
        <v>1331</v>
      </c>
      <c r="SN30" s="463"/>
      <c r="SO30" s="480">
        <f t="shared" ref="SO30" si="678">+SUM(SN16:SN18)</f>
        <v>0</v>
      </c>
      <c r="SP30" s="484">
        <f>+'Parametros Generales'!$J$7</f>
        <v>39324</v>
      </c>
      <c r="SQ30" s="481">
        <v>0</v>
      </c>
      <c r="SR30" s="419">
        <f t="shared" ref="SR30" si="679">+SP30*SO30*SO11</f>
        <v>0</v>
      </c>
      <c r="SS30" s="123"/>
      <c r="SW30" s="936">
        <f>IF(ISERROR((+SR30/SR65)),0,(+SR30/SR65))</f>
        <v>0</v>
      </c>
      <c r="SZ30" s="1246" t="s">
        <v>1340</v>
      </c>
      <c r="TA30" s="906" t="s">
        <v>1331</v>
      </c>
      <c r="TB30" s="463"/>
      <c r="TC30" s="125">
        <f>+E30+S30+AU30+BI30+BW30+CK30+CY30+DM30+EA30+EO30+FC30+FQ30+GE30+GS30+HG30+HU30+II30+IW30+JY30+KM30+LA30+LO30+MC30+MQ30+NE30+NS30+OG30+OU30+PI30+PW30+QK30+QY30+RM30+SA30+SO30</f>
        <v>265.24999999999994</v>
      </c>
      <c r="TD30" s="484">
        <f>+'Parametros Generales'!$J$7</f>
        <v>39324</v>
      </c>
      <c r="TE30" s="481">
        <v>0</v>
      </c>
      <c r="TF30" s="419">
        <f t="shared" ref="TF30" si="680">+TD30*TC30*TC11</f>
        <v>52153454.999999993</v>
      </c>
      <c r="TG30" s="123"/>
      <c r="TK30" s="936">
        <f t="shared" ref="TK30" si="681">+TF30/TF65</f>
        <v>1.6061413584488764E-3</v>
      </c>
    </row>
    <row r="31" spans="1:531" ht="18" customHeight="1">
      <c r="B31" s="1222"/>
      <c r="C31" s="907" t="s">
        <v>41</v>
      </c>
      <c r="D31" s="134"/>
      <c r="E31" s="516">
        <f>+SUM(D16:D20)</f>
        <v>178.5</v>
      </c>
      <c r="F31" s="485">
        <f>+'Parametros Generales'!$J$8</f>
        <v>35900</v>
      </c>
      <c r="G31" s="482">
        <v>0</v>
      </c>
      <c r="H31" s="286">
        <f>+F31*E31*E11</f>
        <v>32040750</v>
      </c>
      <c r="I31" s="123"/>
      <c r="M31" s="937">
        <f>+H31/H65</f>
        <v>1.0975985926886297E-2</v>
      </c>
      <c r="P31" s="1246"/>
      <c r="Q31" s="907" t="s">
        <v>41</v>
      </c>
      <c r="R31" s="134"/>
      <c r="S31" s="516">
        <f t="shared" ref="S31" si="682">+SUM(R16:R20)</f>
        <v>42.300000000000004</v>
      </c>
      <c r="T31" s="485">
        <f>+'Parametros Generales'!$J$8</f>
        <v>35900</v>
      </c>
      <c r="U31" s="482">
        <v>0</v>
      </c>
      <c r="V31" s="286">
        <f t="shared" ref="V31" si="683">+T31*S31*S11</f>
        <v>7592850.0000000009</v>
      </c>
      <c r="W31" s="123"/>
      <c r="AA31" s="937">
        <f t="shared" ref="AA31" si="684">+V31/V65</f>
        <v>1.1062337846521419E-2</v>
      </c>
      <c r="AD31" s="1246"/>
      <c r="AE31" s="907" t="s">
        <v>41</v>
      </c>
      <c r="AF31" s="134"/>
      <c r="AG31" s="516">
        <f t="shared" si="576"/>
        <v>220.8</v>
      </c>
      <c r="AH31" s="485">
        <f>+'Parametros Generales'!$J$8</f>
        <v>35900</v>
      </c>
      <c r="AI31" s="482">
        <v>0</v>
      </c>
      <c r="AJ31" s="286">
        <f t="shared" ref="AJ31" si="685">+AH31*AG31*AG11</f>
        <v>39633600</v>
      </c>
      <c r="AK31" s="123"/>
      <c r="AO31" s="937">
        <f t="shared" ref="AO31" si="686">+AJ31/AJ65</f>
        <v>1.0992424338925128E-2</v>
      </c>
      <c r="AR31" s="1246"/>
      <c r="AS31" s="907" t="s">
        <v>41</v>
      </c>
      <c r="AT31" s="134"/>
      <c r="AU31" s="516">
        <f t="shared" ref="AU31" si="687">+SUM(AT16:AT20)</f>
        <v>65.399999999999991</v>
      </c>
      <c r="AV31" s="485">
        <f>+'Parametros Generales'!$J$8</f>
        <v>35900</v>
      </c>
      <c r="AW31" s="482">
        <v>0</v>
      </c>
      <c r="AX31" s="286">
        <f t="shared" ref="AX31" si="688">+AV31*AU31*AU11</f>
        <v>11739299.999999998</v>
      </c>
      <c r="AY31" s="123"/>
      <c r="BC31" s="937">
        <f t="shared" ref="BC31" si="689">+AX31/AX65</f>
        <v>1.1276994615311245E-2</v>
      </c>
      <c r="BF31" s="1246"/>
      <c r="BG31" s="907" t="s">
        <v>41</v>
      </c>
      <c r="BH31" s="134"/>
      <c r="BI31" s="516">
        <f t="shared" ref="BI31" si="690">+SUM(BH16:BH20)</f>
        <v>93.524999999999991</v>
      </c>
      <c r="BJ31" s="485">
        <f>+'Parametros Generales'!$J$8</f>
        <v>35900</v>
      </c>
      <c r="BK31" s="482">
        <v>0</v>
      </c>
      <c r="BL31" s="286">
        <f t="shared" ref="BL31" si="691">+BJ31*BI31*BI11</f>
        <v>16787737.499999996</v>
      </c>
      <c r="BM31" s="123"/>
      <c r="BQ31" s="937">
        <f t="shared" ref="BQ31" si="692">+BL31/BL65</f>
        <v>1.1241010083836368E-2</v>
      </c>
      <c r="BT31" s="1246"/>
      <c r="BU31" s="907" t="s">
        <v>41</v>
      </c>
      <c r="BV31" s="134"/>
      <c r="BW31" s="516">
        <f t="shared" ref="BW31" si="693">+SUM(BV16:BV20)</f>
        <v>81.149999999999991</v>
      </c>
      <c r="BX31" s="485">
        <f>+'Parametros Generales'!$J$8</f>
        <v>35900</v>
      </c>
      <c r="BY31" s="482">
        <v>0</v>
      </c>
      <c r="BZ31" s="286">
        <f t="shared" ref="BZ31" si="694">+BX31*BW31*BW11</f>
        <v>14566424.999999998</v>
      </c>
      <c r="CA31" s="123"/>
      <c r="CE31" s="937">
        <f t="shared" ref="CE31" si="695">+BZ31/BZ65</f>
        <v>1.1400843230004445E-2</v>
      </c>
      <c r="CH31" s="1246"/>
      <c r="CI31" s="907" t="s">
        <v>41</v>
      </c>
      <c r="CJ31" s="134"/>
      <c r="CK31" s="516">
        <f t="shared" ref="CK31" si="696">+SUM(CJ16:CJ20)</f>
        <v>82.274999999999991</v>
      </c>
      <c r="CL31" s="485">
        <f>+'Parametros Generales'!$J$8</f>
        <v>35900</v>
      </c>
      <c r="CM31" s="482">
        <v>0</v>
      </c>
      <c r="CN31" s="286">
        <f t="shared" ref="CN31" si="697">+CL31*CK31*CK11</f>
        <v>14768362.499999998</v>
      </c>
      <c r="CO31" s="123"/>
      <c r="CS31" s="937">
        <f t="shared" ref="CS31" si="698">+CN31/CN65</f>
        <v>1.1563725461774345E-2</v>
      </c>
      <c r="CV31" s="1246"/>
      <c r="CW31" s="907" t="s">
        <v>41</v>
      </c>
      <c r="CX31" s="134"/>
      <c r="CY31" s="516">
        <f t="shared" ref="CY31" si="699">+SUM(CX16:CX20)</f>
        <v>44.550000000000004</v>
      </c>
      <c r="CZ31" s="485">
        <f>+'Parametros Generales'!$J$8</f>
        <v>35900</v>
      </c>
      <c r="DA31" s="482">
        <v>0</v>
      </c>
      <c r="DB31" s="286">
        <f t="shared" ref="DB31" si="700">+CZ31*CY31*CY11</f>
        <v>7996725.0000000009</v>
      </c>
      <c r="DC31" s="123"/>
      <c r="DG31" s="937">
        <f t="shared" ref="DG31" si="701">+DB31/DB65</f>
        <v>1.1415661153153546E-2</v>
      </c>
      <c r="DJ31" s="1246"/>
      <c r="DK31" s="907" t="s">
        <v>41</v>
      </c>
      <c r="DL31" s="134"/>
      <c r="DM31" s="516">
        <f t="shared" ref="DM31" si="702">+SUM(DL16:DL20)</f>
        <v>87.899999999999991</v>
      </c>
      <c r="DN31" s="485">
        <f>+'Parametros Generales'!$J$8</f>
        <v>35900</v>
      </c>
      <c r="DO31" s="482">
        <v>0</v>
      </c>
      <c r="DP31" s="286">
        <f t="shared" ref="DP31" si="703">+DN31*DM31*DM11</f>
        <v>15778049.999999998</v>
      </c>
      <c r="DQ31" s="123"/>
      <c r="DU31" s="937">
        <f t="shared" ref="DU31" si="704">+DP31/DP65</f>
        <v>1.1079166852232418E-2</v>
      </c>
      <c r="DX31" s="1246"/>
      <c r="DY31" s="907" t="s">
        <v>41</v>
      </c>
      <c r="DZ31" s="134"/>
      <c r="EA31" s="516">
        <f t="shared" ref="EA31" si="705">+SUM(DZ16:DZ20)</f>
        <v>64.275000000000006</v>
      </c>
      <c r="EB31" s="485">
        <f>+'Parametros Generales'!$J$8</f>
        <v>35900</v>
      </c>
      <c r="EC31" s="482">
        <v>0</v>
      </c>
      <c r="ED31" s="286">
        <f t="shared" ref="ED31" si="706">+EB31*EA31*EA11</f>
        <v>11537362.5</v>
      </c>
      <c r="EE31" s="123"/>
      <c r="EI31" s="937">
        <f t="shared" ref="EI31" si="707">+ED31/ED65</f>
        <v>1.1279096120350147E-2</v>
      </c>
      <c r="EL31" s="1246"/>
      <c r="EM31" s="907" t="s">
        <v>41</v>
      </c>
      <c r="EN31" s="134"/>
      <c r="EO31" s="516">
        <f t="shared" ref="EO31" si="708">+SUM(EN16:EN20)</f>
        <v>91.274999999999991</v>
      </c>
      <c r="EP31" s="485">
        <f>+'Parametros Generales'!$J$8</f>
        <v>35900</v>
      </c>
      <c r="EQ31" s="482">
        <v>0</v>
      </c>
      <c r="ER31" s="286">
        <f t="shared" ref="ER31" si="709">+EP31*EO31*EO11</f>
        <v>16383862.499999998</v>
      </c>
      <c r="ES31" s="123"/>
      <c r="EW31" s="937">
        <f t="shared" ref="EW31" si="710">+ER31/ER65</f>
        <v>1.1243066557512699E-2</v>
      </c>
      <c r="EZ31" s="1246"/>
      <c r="FA31" s="907" t="s">
        <v>41</v>
      </c>
      <c r="FB31" s="134"/>
      <c r="FC31" s="516">
        <f t="shared" ref="FC31" si="711">+SUM(FB16:FB20)</f>
        <v>98.024999999999991</v>
      </c>
      <c r="FD31" s="485">
        <f>+'Parametros Generales'!$J$8</f>
        <v>35900</v>
      </c>
      <c r="FE31" s="482">
        <v>0</v>
      </c>
      <c r="FF31" s="286">
        <f t="shared" ref="FF31" si="712">+FD31*FC31*FC11</f>
        <v>17595487.499999996</v>
      </c>
      <c r="FG31" s="123"/>
      <c r="FK31" s="937">
        <f t="shared" ref="FK31" si="713">+FF31/FF65</f>
        <v>1.1224705401091493E-2</v>
      </c>
      <c r="FN31" s="1246"/>
      <c r="FO31" s="907" t="s">
        <v>41</v>
      </c>
      <c r="FP31" s="134"/>
      <c r="FQ31" s="516">
        <f t="shared" ref="FQ31" si="714">+SUM(FP16:FP20)</f>
        <v>71.587499999999991</v>
      </c>
      <c r="FR31" s="485">
        <f>+'Parametros Generales'!$J$8</f>
        <v>35900</v>
      </c>
      <c r="FS31" s="482">
        <v>0</v>
      </c>
      <c r="FT31" s="286">
        <f t="shared" ref="FT31" si="715">+FR31*FQ31*FQ11</f>
        <v>12849956.249999998</v>
      </c>
      <c r="FU31" s="123"/>
      <c r="FY31" s="937">
        <f t="shared" ref="FY31" si="716">+FT31/FT65</f>
        <v>1.1266628460523115E-2</v>
      </c>
      <c r="GB31" s="1246"/>
      <c r="GC31" s="907" t="s">
        <v>41</v>
      </c>
      <c r="GD31" s="134"/>
      <c r="GE31" s="516">
        <f t="shared" ref="GE31" si="717">+SUM(GD16:GD20)</f>
        <v>56.362500000000004</v>
      </c>
      <c r="GF31" s="485">
        <f>+'Parametros Generales'!$J$8</f>
        <v>35900</v>
      </c>
      <c r="GG31" s="482">
        <v>0</v>
      </c>
      <c r="GH31" s="286">
        <f t="shared" ref="GH31" si="718">+GF31*GE31*GE11</f>
        <v>10117068.750000002</v>
      </c>
      <c r="GI31" s="123"/>
      <c r="GM31" s="937">
        <f t="shared" ref="GM31" si="719">+GH31/GH65</f>
        <v>1.1473527407769839E-2</v>
      </c>
      <c r="GP31" s="1246"/>
      <c r="GQ31" s="907" t="s">
        <v>41</v>
      </c>
      <c r="GR31" s="134"/>
      <c r="GS31" s="516">
        <f t="shared" ref="GS31" si="720">+SUM(GR16:GR20)</f>
        <v>35.550000000000004</v>
      </c>
      <c r="GT31" s="485">
        <f>+'Parametros Generales'!$J$8</f>
        <v>35900</v>
      </c>
      <c r="GU31" s="482">
        <v>0</v>
      </c>
      <c r="GV31" s="286">
        <f t="shared" ref="GV31" si="721">+GT31*GS31*GS11</f>
        <v>6381225.0000000009</v>
      </c>
      <c r="GW31" s="123"/>
      <c r="HA31" s="937">
        <f t="shared" ref="HA31" si="722">+GV31/GV65</f>
        <v>1.1569675789969196E-2</v>
      </c>
      <c r="HD31" s="1246"/>
      <c r="HE31" s="907" t="s">
        <v>41</v>
      </c>
      <c r="HF31" s="134"/>
      <c r="HG31" s="516">
        <f t="shared" ref="HG31" si="723">+SUM(HF16:HF20)</f>
        <v>111</v>
      </c>
      <c r="HH31" s="485">
        <f>+'Parametros Generales'!$J$8</f>
        <v>35900</v>
      </c>
      <c r="HI31" s="482">
        <v>0</v>
      </c>
      <c r="HJ31" s="286">
        <f t="shared" ref="HJ31" si="724">+HH31*HG31*HG11</f>
        <v>19924500</v>
      </c>
      <c r="HK31" s="123"/>
      <c r="HO31" s="937">
        <f t="shared" ref="HO31" si="725">+HJ31/HJ65</f>
        <v>1.1245449985814168E-2</v>
      </c>
      <c r="HR31" s="1246"/>
      <c r="HS31" s="907" t="s">
        <v>41</v>
      </c>
      <c r="HT31" s="134"/>
      <c r="HU31" s="516">
        <f t="shared" ref="HU31" si="726">+SUM(HT16:HT20)</f>
        <v>40.050000000000004</v>
      </c>
      <c r="HV31" s="485">
        <f>+'Parametros Generales'!$J$8</f>
        <v>35900</v>
      </c>
      <c r="HW31" s="482">
        <v>0</v>
      </c>
      <c r="HX31" s="286">
        <f t="shared" ref="HX31" si="727">+HV31*HU31*HU11</f>
        <v>7188975.0000000009</v>
      </c>
      <c r="HY31" s="123"/>
      <c r="IC31" s="937">
        <f t="shared" ref="IC31" si="728">+HX31/HX65</f>
        <v>1.1551584643710889E-2</v>
      </c>
      <c r="IF31" s="1246"/>
      <c r="IG31" s="907" t="s">
        <v>41</v>
      </c>
      <c r="IH31" s="134"/>
      <c r="II31" s="516">
        <f t="shared" ref="II31" si="729">+SUM(IH16:IH20)</f>
        <v>26.55</v>
      </c>
      <c r="IJ31" s="485">
        <f>+'Parametros Generales'!$J$8</f>
        <v>35900</v>
      </c>
      <c r="IK31" s="482">
        <v>0</v>
      </c>
      <c r="IL31" s="286">
        <f t="shared" ref="IL31" si="730">+IJ31*II31*II11</f>
        <v>4765725</v>
      </c>
      <c r="IM31" s="123"/>
      <c r="IQ31" s="937">
        <f t="shared" ref="IQ31" si="731">+IL31/IL65</f>
        <v>1.1384787958948803E-2</v>
      </c>
      <c r="IT31" s="1246"/>
      <c r="IU31" s="907" t="s">
        <v>41</v>
      </c>
      <c r="IV31" s="134"/>
      <c r="IW31" s="516">
        <f t="shared" ref="IW31" si="732">+SUM(IV16:IV20)</f>
        <v>162.75</v>
      </c>
      <c r="IX31" s="485">
        <f>+'Parametros Generales'!$J$8</f>
        <v>35900</v>
      </c>
      <c r="IY31" s="482">
        <v>0</v>
      </c>
      <c r="IZ31" s="286">
        <f t="shared" ref="IZ31" si="733">+IX31*IW31*IW11</f>
        <v>29213625</v>
      </c>
      <c r="JA31" s="123"/>
      <c r="JE31" s="937">
        <f t="shared" ref="JE31" si="734">+IZ31/IZ65</f>
        <v>1.1222811111421198E-2</v>
      </c>
      <c r="JH31" s="1246"/>
      <c r="JI31" s="907" t="s">
        <v>41</v>
      </c>
      <c r="JJ31" s="134"/>
      <c r="JK31" s="516">
        <f t="shared" si="627"/>
        <v>189.3</v>
      </c>
      <c r="JL31" s="485">
        <f>+'Parametros Generales'!$J$8</f>
        <v>35900</v>
      </c>
      <c r="JM31" s="482">
        <v>0</v>
      </c>
      <c r="JN31" s="286">
        <f t="shared" ref="JN31" si="735">+JL31*JK31*JK11</f>
        <v>33979350</v>
      </c>
      <c r="JO31" s="123"/>
      <c r="JS31" s="937">
        <f t="shared" ref="JS31" si="736">+JN31/JN65</f>
        <v>1.124525050116092E-2</v>
      </c>
      <c r="JV31" s="1246"/>
      <c r="JW31" s="907" t="s">
        <v>41</v>
      </c>
      <c r="JX31" s="134"/>
      <c r="JY31" s="516">
        <f t="shared" ref="JY31" si="737">+SUM(JX16:JX20)</f>
        <v>54.675000000000004</v>
      </c>
      <c r="JZ31" s="485">
        <f>+'Parametros Generales'!$J$8</f>
        <v>35900</v>
      </c>
      <c r="KA31" s="482">
        <v>0</v>
      </c>
      <c r="KB31" s="286">
        <f t="shared" ref="KB31" si="738">+JZ31*JY31*JY11</f>
        <v>9814162.5000000019</v>
      </c>
      <c r="KC31" s="123"/>
      <c r="KG31" s="937">
        <f t="shared" ref="KG31" si="739">+KB31/KB65</f>
        <v>1.1190208951356881E-2</v>
      </c>
      <c r="KJ31" s="1246"/>
      <c r="KK31" s="907" t="s">
        <v>41</v>
      </c>
      <c r="KL31" s="134"/>
      <c r="KM31" s="516">
        <f t="shared" ref="KM31" si="740">+SUM(KL16:KL20)</f>
        <v>33.300000000000004</v>
      </c>
      <c r="KN31" s="485">
        <f>+'Parametros Generales'!$J$8</f>
        <v>35900</v>
      </c>
      <c r="KO31" s="482">
        <v>0</v>
      </c>
      <c r="KP31" s="286">
        <f t="shared" ref="KP31" si="741">+KN31*KM31*KM11</f>
        <v>5977350.0000000009</v>
      </c>
      <c r="KQ31" s="123"/>
      <c r="KU31" s="937">
        <f t="shared" ref="KU31" si="742">+KP31/KP65</f>
        <v>1.1334059311102714E-2</v>
      </c>
      <c r="KX31" s="1246"/>
      <c r="KY31" s="907" t="s">
        <v>41</v>
      </c>
      <c r="KZ31" s="134"/>
      <c r="LA31" s="516">
        <f t="shared" ref="LA31" si="743">+SUM(KZ16:KZ20)</f>
        <v>27.675000000000001</v>
      </c>
      <c r="LB31" s="485">
        <f>+'Parametros Generales'!$J$8</f>
        <v>35900</v>
      </c>
      <c r="LC31" s="482">
        <v>0</v>
      </c>
      <c r="LD31" s="286">
        <f t="shared" ref="LD31" si="744">+LB31*LA31*LA11</f>
        <v>4967662.5</v>
      </c>
      <c r="LE31" s="123"/>
      <c r="LI31" s="937">
        <f t="shared" ref="LI31" si="745">+LD31/LD65</f>
        <v>1.1579409845935702E-2</v>
      </c>
      <c r="LL31" s="1246"/>
      <c r="LM31" s="907" t="s">
        <v>41</v>
      </c>
      <c r="LN31" s="134"/>
      <c r="LO31" s="516">
        <f t="shared" ref="LO31" si="746">+SUM(LN16:LN20)</f>
        <v>70.462499999999991</v>
      </c>
      <c r="LP31" s="485">
        <f>+'Parametros Generales'!$J$8</f>
        <v>35900</v>
      </c>
      <c r="LQ31" s="482">
        <v>0</v>
      </c>
      <c r="LR31" s="286">
        <f t="shared" ref="LR31" si="747">+LP31*LO31*LO11</f>
        <v>12648018.749999998</v>
      </c>
      <c r="LS31" s="123"/>
      <c r="LW31" s="937">
        <f t="shared" ref="LW31" si="748">+LR31/LR65</f>
        <v>1.1268376465542292E-2</v>
      </c>
      <c r="LZ31" s="1246"/>
      <c r="MA31" s="907" t="s">
        <v>41</v>
      </c>
      <c r="MB31" s="134"/>
      <c r="MC31" s="516">
        <f t="shared" ref="MC31" si="749">+SUM(MB16:MB20)</f>
        <v>69.899999999999991</v>
      </c>
      <c r="MD31" s="485">
        <f>+'Parametros Generales'!$J$8</f>
        <v>35900</v>
      </c>
      <c r="ME31" s="482">
        <v>0</v>
      </c>
      <c r="MF31" s="286">
        <f t="shared" ref="MF31" si="750">+MD31*MC31*MC11</f>
        <v>12547049.999999998</v>
      </c>
      <c r="MG31" s="123"/>
      <c r="MK31" s="937">
        <f t="shared" ref="MK31" si="751">+MF31/MF65</f>
        <v>1.1269271777902099E-2</v>
      </c>
      <c r="MN31" s="1246"/>
      <c r="MO31" s="907" t="s">
        <v>41</v>
      </c>
      <c r="MP31" s="134"/>
      <c r="MQ31" s="516">
        <f t="shared" ref="MQ31" si="752">+SUM(MP16:MP20)</f>
        <v>73.274999999999991</v>
      </c>
      <c r="MR31" s="485">
        <f>+'Parametros Generales'!$J$8</f>
        <v>35900</v>
      </c>
      <c r="MS31" s="482">
        <v>0</v>
      </c>
      <c r="MT31" s="286">
        <f t="shared" ref="MT31" si="753">+MR31*MQ31*MQ11</f>
        <v>13152862.499999998</v>
      </c>
      <c r="MU31" s="123"/>
      <c r="MY31" s="937">
        <f t="shared" ref="MY31" si="754">+MT31/MT65</f>
        <v>1.1544715688983782E-2</v>
      </c>
      <c r="NB31" s="1246"/>
      <c r="NC31" s="907" t="s">
        <v>41</v>
      </c>
      <c r="ND31" s="134"/>
      <c r="NE31" s="516">
        <f t="shared" ref="NE31" si="755">+SUM(ND16:ND20)</f>
        <v>135.1875</v>
      </c>
      <c r="NF31" s="485">
        <f>+'Parametros Generales'!$J$8</f>
        <v>35900</v>
      </c>
      <c r="NG31" s="482">
        <v>0</v>
      </c>
      <c r="NH31" s="286">
        <f t="shared" ref="NH31" si="756">+NF31*NE31*NE11</f>
        <v>24266156.25</v>
      </c>
      <c r="NI31" s="123"/>
      <c r="NM31" s="937">
        <f t="shared" ref="NM31" si="757">+NH31/NH65</f>
        <v>1.1129290617866163E-2</v>
      </c>
      <c r="NP31" s="1246"/>
      <c r="NQ31" s="907" t="s">
        <v>41</v>
      </c>
      <c r="NR31" s="134"/>
      <c r="NS31" s="516">
        <f t="shared" ref="NS31" si="758">+SUM(NR16:NR20)</f>
        <v>22.574999999999999</v>
      </c>
      <c r="NT31" s="485">
        <f>+'Parametros Generales'!$J$8</f>
        <v>35900</v>
      </c>
      <c r="NU31" s="482">
        <v>0</v>
      </c>
      <c r="NV31" s="286">
        <f t="shared" ref="NV31" si="759">+NT31*NS31*NS11</f>
        <v>4052212.5</v>
      </c>
      <c r="NW31" s="123"/>
      <c r="OA31" s="937">
        <f t="shared" ref="OA31" si="760">+NV31/NV65</f>
        <v>1.1674741419330996E-2</v>
      </c>
      <c r="OD31" s="1246"/>
      <c r="OE31" s="907" t="s">
        <v>41</v>
      </c>
      <c r="OF31" s="134"/>
      <c r="OG31" s="516">
        <f t="shared" ref="OG31" si="761">+SUM(OF16:OF20)</f>
        <v>28.8</v>
      </c>
      <c r="OH31" s="485">
        <f>+'Parametros Generales'!$J$8</f>
        <v>35900</v>
      </c>
      <c r="OI31" s="482">
        <v>0</v>
      </c>
      <c r="OJ31" s="286">
        <f t="shared" ref="OJ31" si="762">+OH31*OG31*OG11</f>
        <v>5169600</v>
      </c>
      <c r="OK31" s="123"/>
      <c r="OO31" s="937">
        <f t="shared" ref="OO31" si="763">+OJ31/OJ65</f>
        <v>1.1428101452749135E-2</v>
      </c>
      <c r="OR31" s="1246"/>
      <c r="OS31" s="907" t="s">
        <v>41</v>
      </c>
      <c r="OT31" s="134"/>
      <c r="OU31" s="516">
        <f t="shared" ref="OU31" si="764">+SUM(OT16:OT20)</f>
        <v>36.675000000000004</v>
      </c>
      <c r="OV31" s="485">
        <f>+'Parametros Generales'!$J$8</f>
        <v>35900</v>
      </c>
      <c r="OW31" s="482">
        <v>0</v>
      </c>
      <c r="OX31" s="286">
        <f t="shared" ref="OX31" si="765">+OV31*OU31*OU11</f>
        <v>6583162.5000000009</v>
      </c>
      <c r="OY31" s="123"/>
      <c r="PC31" s="937">
        <f t="shared" ref="PC31" si="766">+OX31/OX65</f>
        <v>1.1519027232591031E-2</v>
      </c>
      <c r="PF31" s="1246"/>
      <c r="PG31" s="907" t="s">
        <v>41</v>
      </c>
      <c r="PH31" s="134"/>
      <c r="PI31" s="516">
        <f t="shared" ref="PI31" si="767">+SUM(PH16:PH20)</f>
        <v>9.6375000000000011</v>
      </c>
      <c r="PJ31" s="485">
        <f>+'Parametros Generales'!$J$8</f>
        <v>35900</v>
      </c>
      <c r="PK31" s="482">
        <v>0</v>
      </c>
      <c r="PL31" s="286">
        <f t="shared" ref="PL31" si="768">+PJ31*PI31*PI11</f>
        <v>1729931.2500000002</v>
      </c>
      <c r="PM31" s="123"/>
      <c r="PQ31" s="937">
        <f t="shared" ref="PQ31" si="769">+PL31/PL65</f>
        <v>1.1903385422690892E-2</v>
      </c>
      <c r="PT31" s="1246"/>
      <c r="PU31" s="907" t="s">
        <v>41</v>
      </c>
      <c r="PV31" s="134"/>
      <c r="PW31" s="516">
        <f t="shared" ref="PW31" si="770">+SUM(PV16:PV20)</f>
        <v>14.700000000000001</v>
      </c>
      <c r="PX31" s="485">
        <f>+'Parametros Generales'!$J$8</f>
        <v>35900</v>
      </c>
      <c r="PY31" s="482">
        <v>0</v>
      </c>
      <c r="PZ31" s="286">
        <f t="shared" ref="PZ31" si="771">+PX31*PW31*PW11</f>
        <v>2638650</v>
      </c>
      <c r="QA31" s="123"/>
      <c r="QE31" s="937">
        <f t="shared" ref="QE31" si="772">+PZ31/PZ65</f>
        <v>1.176492463671798E-2</v>
      </c>
      <c r="QH31" s="1246"/>
      <c r="QI31" s="907" t="s">
        <v>41</v>
      </c>
      <c r="QJ31" s="134"/>
      <c r="QK31" s="516">
        <f t="shared" ref="QK31" si="773">+SUM(QJ16:QJ20)</f>
        <v>5.7</v>
      </c>
      <c r="QL31" s="485">
        <f>+'Parametros Generales'!$J$8</f>
        <v>35900</v>
      </c>
      <c r="QM31" s="482">
        <v>0</v>
      </c>
      <c r="QN31" s="286">
        <f t="shared" ref="QN31" si="774">+QL31*QK31*QK11</f>
        <v>1023150</v>
      </c>
      <c r="QO31" s="123"/>
      <c r="QS31" s="937">
        <f t="shared" ref="QS31" si="775">+QN31/QN65</f>
        <v>1.2191179178540764E-2</v>
      </c>
      <c r="QV31" s="1246"/>
      <c r="QW31" s="907" t="s">
        <v>41</v>
      </c>
      <c r="QX31" s="134"/>
      <c r="QY31" s="516">
        <f t="shared" ref="QY31" si="776">+SUM(QX16:QX20)</f>
        <v>12.450000000000001</v>
      </c>
      <c r="QZ31" s="485">
        <f>+'Parametros Generales'!$J$8</f>
        <v>35900</v>
      </c>
      <c r="RA31" s="482">
        <v>0</v>
      </c>
      <c r="RB31" s="286">
        <f t="shared" ref="RB31" si="777">+QZ31*QY31*QY11</f>
        <v>2234775.0000000005</v>
      </c>
      <c r="RC31" s="123"/>
      <c r="RG31" s="937">
        <f t="shared" ref="RG31" si="778">+RB31/RB65</f>
        <v>1.1812196145938892E-2</v>
      </c>
      <c r="RJ31" s="1246"/>
      <c r="RK31" s="907" t="s">
        <v>41</v>
      </c>
      <c r="RL31" s="134"/>
      <c r="RM31" s="516">
        <f t="shared" ref="RM31" si="779">+SUM(RL16:RL20)</f>
        <v>5.7</v>
      </c>
      <c r="RN31" s="485">
        <f>+'Parametros Generales'!$J$8</f>
        <v>35900</v>
      </c>
      <c r="RO31" s="482">
        <v>0</v>
      </c>
      <c r="RP31" s="286">
        <f t="shared" ref="RP31" si="780">+RN31*RM31*RM11</f>
        <v>1023150</v>
      </c>
      <c r="RQ31" s="123"/>
      <c r="RU31" s="937">
        <f t="shared" ref="RU31" si="781">+RP31/RP65</f>
        <v>1.2158514585378494E-2</v>
      </c>
      <c r="RX31" s="1246"/>
      <c r="RY31" s="907" t="s">
        <v>41</v>
      </c>
      <c r="RZ31" s="134"/>
      <c r="SA31" s="516">
        <f t="shared" ref="SA31" si="782">+SUM(RZ16:RZ20)</f>
        <v>8.5125000000000011</v>
      </c>
      <c r="SB31" s="485">
        <f>+'Parametros Generales'!$J$8</f>
        <v>35900</v>
      </c>
      <c r="SC31" s="482">
        <v>0</v>
      </c>
      <c r="SD31" s="286">
        <f t="shared" ref="SD31" si="783">+SB31*SA31*SA11</f>
        <v>1527993.7500000002</v>
      </c>
      <c r="SE31" s="123"/>
      <c r="SI31" s="937">
        <f t="shared" ref="SI31" si="784">+SD31/SD65</f>
        <v>1.1957388896042351E-2</v>
      </c>
      <c r="SL31" s="1246"/>
      <c r="SM31" s="907" t="s">
        <v>41</v>
      </c>
      <c r="SN31" s="134"/>
      <c r="SO31" s="516">
        <f t="shared" ref="SO31" si="785">+SUM(SN16:SN20)</f>
        <v>0</v>
      </c>
      <c r="SP31" s="485">
        <f>+'Parametros Generales'!$J$8</f>
        <v>35900</v>
      </c>
      <c r="SQ31" s="482">
        <v>0</v>
      </c>
      <c r="SR31" s="286">
        <f t="shared" ref="SR31" si="786">+SP31*SO31*SO11</f>
        <v>0</v>
      </c>
      <c r="SS31" s="123"/>
      <c r="SW31" s="937">
        <f>IF(ISERROR((+SR31/SR65)),0,(+SR31/SR65))</f>
        <v>0</v>
      </c>
      <c r="SZ31" s="1246"/>
      <c r="TA31" s="907" t="s">
        <v>41</v>
      </c>
      <c r="TB31" s="134"/>
      <c r="TC31" s="516">
        <f>+E31+S31+AU31+BI31+BW31+CK31+CY31+DM31+EA31+EO31+FC31+FQ31+GE31+GS31+HG31+HU31+II31+IW31+JY31+KM31+LA31+LO31+MC31+MQ31+NE31+NS31+OG31+OU31+PI31+PW31+QK31+QY31+RM31+SA31+SO31</f>
        <v>2042.25</v>
      </c>
      <c r="TD31" s="485">
        <f>+'Parametros Generales'!$J$8</f>
        <v>35900</v>
      </c>
      <c r="TE31" s="482">
        <v>0</v>
      </c>
      <c r="TF31" s="286">
        <f t="shared" ref="TF31" si="787">+TD31*TC31*TC11</f>
        <v>366583875</v>
      </c>
      <c r="TG31" s="123"/>
      <c r="TK31" s="937">
        <f t="shared" ref="TK31" si="788">+TF31/TF65</f>
        <v>1.1289482604325125E-2</v>
      </c>
    </row>
    <row r="32" spans="1:531" ht="18" customHeight="1">
      <c r="A32" s="105">
        <v>13</v>
      </c>
      <c r="B32" s="1222"/>
      <c r="C32" s="907" t="s">
        <v>1336</v>
      </c>
      <c r="D32" s="134"/>
      <c r="E32" s="125">
        <f>+VLOOKUP(B13,'Cost x Depart'!$A$2:$AL$1275,A32,0)</f>
        <v>624</v>
      </c>
      <c r="F32" s="485">
        <f>+'Parametros Generales'!$J$9</f>
        <v>97381.818181818206</v>
      </c>
      <c r="G32" s="482">
        <v>0</v>
      </c>
      <c r="H32" s="286">
        <f>+E32*F32*E11</f>
        <v>303831272.72727281</v>
      </c>
      <c r="I32" s="123"/>
      <c r="M32" s="937">
        <f>+H32/H65</f>
        <v>0.10408145170142706</v>
      </c>
      <c r="O32" s="105">
        <v>13</v>
      </c>
      <c r="P32" s="1246"/>
      <c r="Q32" s="907" t="s">
        <v>1336</v>
      </c>
      <c r="R32" s="134"/>
      <c r="S32" s="125">
        <f>+VLOOKUP(P13,'Cost x Depart'!$A$2:$AL$1275,O32,0)</f>
        <v>144</v>
      </c>
      <c r="T32" s="485">
        <f>+'Parametros Generales'!$J$9</f>
        <v>97381.818181818206</v>
      </c>
      <c r="U32" s="482">
        <v>0</v>
      </c>
      <c r="V32" s="286">
        <f t="shared" ref="V32" si="789">+S32*T32*S11</f>
        <v>70114909.090909109</v>
      </c>
      <c r="W32" s="123"/>
      <c r="AA32" s="937">
        <f t="shared" ref="AA32" si="790">+V32/V65</f>
        <v>0.10215331692865952</v>
      </c>
      <c r="AC32" s="105">
        <v>9</v>
      </c>
      <c r="AD32" s="1246"/>
      <c r="AE32" s="907" t="s">
        <v>1336</v>
      </c>
      <c r="AF32" s="134"/>
      <c r="AG32" s="125">
        <f t="shared" ref="AG32:AG34" si="791">+S32+E32</f>
        <v>768</v>
      </c>
      <c r="AH32" s="485">
        <f>+'Parametros Generales'!$J$9</f>
        <v>97381.818181818206</v>
      </c>
      <c r="AI32" s="482">
        <v>0</v>
      </c>
      <c r="AJ32" s="286">
        <f t="shared" ref="AJ32" si="792">+AG32*AH32*AG11</f>
        <v>373946181.81818187</v>
      </c>
      <c r="AK32" s="123"/>
      <c r="AO32" s="937">
        <f t="shared" ref="AO32" si="793">+AJ32/AJ65</f>
        <v>0.10371440168105606</v>
      </c>
      <c r="AQ32" s="105">
        <v>13</v>
      </c>
      <c r="AR32" s="1246"/>
      <c r="AS32" s="907" t="s">
        <v>1336</v>
      </c>
      <c r="AT32" s="134"/>
      <c r="AU32" s="125">
        <f>+VLOOKUP(AR13,'Cost x Depart'!$A$2:$AL$1275,AQ32,0)</f>
        <v>224</v>
      </c>
      <c r="AV32" s="485">
        <f>+'Parametros Generales'!$J$9</f>
        <v>97381.818181818206</v>
      </c>
      <c r="AW32" s="482">
        <v>0</v>
      </c>
      <c r="AX32" s="286">
        <f t="shared" ref="AX32" si="794">+AU32*AV32*AU11</f>
        <v>109067636.36363639</v>
      </c>
      <c r="AY32" s="123"/>
      <c r="BC32" s="937">
        <f t="shared" ref="BC32" si="795">+AX32/AX65</f>
        <v>0.10477244367018926</v>
      </c>
      <c r="BE32" s="105">
        <v>13</v>
      </c>
      <c r="BF32" s="1246"/>
      <c r="BG32" s="907" t="s">
        <v>1336</v>
      </c>
      <c r="BH32" s="134"/>
      <c r="BI32" s="125">
        <f>+VLOOKUP(BF13,'Cost x Depart'!$A$2:$AL$1275,BE32,0)</f>
        <v>324</v>
      </c>
      <c r="BJ32" s="485">
        <f>+'Parametros Generales'!$J$9</f>
        <v>97381.818181818206</v>
      </c>
      <c r="BK32" s="482">
        <v>0</v>
      </c>
      <c r="BL32" s="286">
        <f t="shared" ref="BL32" si="796">+BI32*BJ32*BI11</f>
        <v>157758545.4545455</v>
      </c>
      <c r="BM32" s="123"/>
      <c r="BQ32" s="937">
        <f t="shared" ref="BQ32" si="797">+BL32/BL65</f>
        <v>0.10563456810460041</v>
      </c>
      <c r="BS32" s="105">
        <v>13</v>
      </c>
      <c r="BT32" s="1246"/>
      <c r="BU32" s="907" t="s">
        <v>1336</v>
      </c>
      <c r="BV32" s="134"/>
      <c r="BW32" s="125">
        <f>+VLOOKUP(BT13,'Cost x Depart'!$A$2:$AL$1275,BS32,0)</f>
        <v>280</v>
      </c>
      <c r="BX32" s="485">
        <f>+'Parametros Generales'!$J$9</f>
        <v>97381.818181818206</v>
      </c>
      <c r="BY32" s="482">
        <v>0</v>
      </c>
      <c r="BZ32" s="286">
        <f t="shared" ref="BZ32" si="798">+BW32*BX32*BW11</f>
        <v>136334545.4545455</v>
      </c>
      <c r="CA32" s="123"/>
      <c r="CE32" s="937">
        <f t="shared" ref="CE32" si="799">+BZ32/BZ65</f>
        <v>0.10670626317447064</v>
      </c>
      <c r="CG32" s="105">
        <v>13</v>
      </c>
      <c r="CH32" s="1246"/>
      <c r="CI32" s="907" t="s">
        <v>1336</v>
      </c>
      <c r="CJ32" s="134"/>
      <c r="CK32" s="125">
        <f>+VLOOKUP(CH13,'Cost x Depart'!$A$2:$AL$1275,CG32,0)</f>
        <v>284</v>
      </c>
      <c r="CL32" s="485">
        <f>+'Parametros Generales'!$J$9</f>
        <v>97381.818181818206</v>
      </c>
      <c r="CM32" s="482">
        <v>0</v>
      </c>
      <c r="CN32" s="286">
        <f t="shared" ref="CN32" si="800">+CK32*CL32*CK11</f>
        <v>138282181.81818184</v>
      </c>
      <c r="CO32" s="123"/>
      <c r="CS32" s="937">
        <f t="shared" ref="CS32" si="801">+CN32/CN65</f>
        <v>0.10827586245940393</v>
      </c>
      <c r="CU32" s="105">
        <v>13</v>
      </c>
      <c r="CV32" s="1246"/>
      <c r="CW32" s="907" t="s">
        <v>1336</v>
      </c>
      <c r="CX32" s="134"/>
      <c r="CY32" s="125">
        <f>+VLOOKUP(CV13,'Cost x Depart'!$A$2:$AL$1275,CU32,0)</f>
        <v>152</v>
      </c>
      <c r="CZ32" s="485">
        <f>+'Parametros Generales'!$J$9</f>
        <v>97381.818181818206</v>
      </c>
      <c r="DA32" s="482">
        <v>0</v>
      </c>
      <c r="DB32" s="286">
        <f t="shared" ref="DB32" si="802">+CY32*CZ32*CY11</f>
        <v>74010181.818181843</v>
      </c>
      <c r="DC32" s="123"/>
      <c r="DG32" s="937">
        <f t="shared" ref="DG32" si="803">+DB32/DB65</f>
        <v>0.10565264624201148</v>
      </c>
      <c r="DI32" s="105">
        <v>13</v>
      </c>
      <c r="DJ32" s="1246"/>
      <c r="DK32" s="907" t="s">
        <v>1336</v>
      </c>
      <c r="DL32" s="134"/>
      <c r="DM32" s="125">
        <f>+VLOOKUP(DJ13,'Cost x Depart'!$A$2:$AL$1275,DI32,0)</f>
        <v>304</v>
      </c>
      <c r="DN32" s="485">
        <f>+'Parametros Generales'!$J$9</f>
        <v>97381.818181818206</v>
      </c>
      <c r="DO32" s="482">
        <v>0</v>
      </c>
      <c r="DP32" s="286">
        <f t="shared" ref="DP32" si="804">+DM32*DN32*DM11</f>
        <v>148020363.63636369</v>
      </c>
      <c r="DQ32" s="123"/>
      <c r="DU32" s="937">
        <f t="shared" ref="DU32" si="805">+DP32/DP65</f>
        <v>0.10393821202590875</v>
      </c>
      <c r="DW32" s="105">
        <v>13</v>
      </c>
      <c r="DX32" s="1246"/>
      <c r="DY32" s="907" t="s">
        <v>1336</v>
      </c>
      <c r="DZ32" s="134"/>
      <c r="EA32" s="125">
        <f>+VLOOKUP(DX13,'Cost x Depart'!$A$2:$AL$1275,DW32,0)</f>
        <v>220</v>
      </c>
      <c r="EB32" s="485">
        <f>+'Parametros Generales'!$J$9</f>
        <v>97381.818181818206</v>
      </c>
      <c r="EC32" s="482">
        <v>0</v>
      </c>
      <c r="ED32" s="286">
        <f t="shared" ref="ED32" si="806">+EA32*EB32*EA11</f>
        <v>107120000.00000001</v>
      </c>
      <c r="EE32" s="123"/>
      <c r="EI32" s="937">
        <f t="shared" ref="EI32" si="807">+ED32/ED65</f>
        <v>0.1047220954019524</v>
      </c>
      <c r="EK32" s="105">
        <v>13</v>
      </c>
      <c r="EL32" s="1246"/>
      <c r="EM32" s="907" t="s">
        <v>1336</v>
      </c>
      <c r="EN32" s="134"/>
      <c r="EO32" s="125">
        <f>+VLOOKUP(EL13,'Cost x Depart'!$A$2:$AL$1275,EK32,0)</f>
        <v>316</v>
      </c>
      <c r="EP32" s="485">
        <f>+'Parametros Generales'!$J$9</f>
        <v>97381.818181818206</v>
      </c>
      <c r="EQ32" s="482">
        <v>0</v>
      </c>
      <c r="ER32" s="286">
        <f t="shared" ref="ER32" si="808">+EO32*EP32*EO11</f>
        <v>153863272.72727278</v>
      </c>
      <c r="ES32" s="123"/>
      <c r="EW32" s="937">
        <f t="shared" ref="EW32" si="809">+ER32/ER65</f>
        <v>0.10558529870654472</v>
      </c>
      <c r="EY32" s="105">
        <v>13</v>
      </c>
      <c r="EZ32" s="1246"/>
      <c r="FA32" s="907" t="s">
        <v>1336</v>
      </c>
      <c r="FB32" s="134"/>
      <c r="FC32" s="125">
        <f>+VLOOKUP(EZ13,'Cost x Depart'!$A$2:$AL$1275,EY32,0)</f>
        <v>340</v>
      </c>
      <c r="FD32" s="485">
        <f>+'Parametros Generales'!$J$9</f>
        <v>97381.818181818206</v>
      </c>
      <c r="FE32" s="482">
        <v>0</v>
      </c>
      <c r="FF32" s="286">
        <f t="shared" ref="FF32" si="810">+FC32*FD32*FC11</f>
        <v>165549090.90909097</v>
      </c>
      <c r="FG32" s="123"/>
      <c r="FK32" s="937">
        <f t="shared" ref="FK32" si="811">+FF32/FF65</f>
        <v>0.1056088826679602</v>
      </c>
      <c r="FM32" s="105">
        <v>13</v>
      </c>
      <c r="FN32" s="1246"/>
      <c r="FO32" s="907" t="s">
        <v>1336</v>
      </c>
      <c r="FP32" s="134"/>
      <c r="FQ32" s="125">
        <f>+VLOOKUP(FN13,'Cost x Depart'!$A$2:$AL$1275,FM32,0)</f>
        <v>246</v>
      </c>
      <c r="FR32" s="485">
        <f>+'Parametros Generales'!$J$9</f>
        <v>97381.818181818206</v>
      </c>
      <c r="FS32" s="482">
        <v>0</v>
      </c>
      <c r="FT32" s="286">
        <f t="shared" ref="FT32" si="812">+FQ32*FR32*FQ11</f>
        <v>119779636.36363639</v>
      </c>
      <c r="FU32" s="123"/>
      <c r="FY32" s="937">
        <f t="shared" ref="FY32" si="813">+FT32/FT65</f>
        <v>0.10502079803156181</v>
      </c>
      <c r="GA32" s="105">
        <v>13</v>
      </c>
      <c r="GB32" s="1246"/>
      <c r="GC32" s="907" t="s">
        <v>1336</v>
      </c>
      <c r="GD32" s="134"/>
      <c r="GE32" s="125">
        <f>+VLOOKUP(GB13,'Cost x Depart'!$A$2:$AL$1275,GA32,0)</f>
        <v>194</v>
      </c>
      <c r="GF32" s="485">
        <f>+'Parametros Generales'!$J$9</f>
        <v>97381.818181818206</v>
      </c>
      <c r="GG32" s="482">
        <v>0</v>
      </c>
      <c r="GH32" s="286">
        <f t="shared" ref="GH32" si="814">+GE32*GF32*GE11</f>
        <v>94460363.636363655</v>
      </c>
      <c r="GI32" s="123"/>
      <c r="GM32" s="937">
        <f t="shared" ref="GM32" si="815">+GH32/GH65</f>
        <v>0.10712525514168554</v>
      </c>
      <c r="GO32" s="105">
        <v>13</v>
      </c>
      <c r="GP32" s="1246"/>
      <c r="GQ32" s="907" t="s">
        <v>1336</v>
      </c>
      <c r="GR32" s="134"/>
      <c r="GS32" s="125">
        <f>+VLOOKUP(GP13,'Cost x Depart'!$A$2:$AL$1275,GO32,0)</f>
        <v>120</v>
      </c>
      <c r="GT32" s="485">
        <f>+'Parametros Generales'!$J$9</f>
        <v>97381.818181818206</v>
      </c>
      <c r="GU32" s="482">
        <v>0</v>
      </c>
      <c r="GV32" s="286">
        <f t="shared" ref="GV32" si="816">+GS32*GT32*GS11</f>
        <v>58429090.909090929</v>
      </c>
      <c r="GW32" s="123"/>
      <c r="HA32" s="937">
        <f t="shared" ref="HA32" si="817">+GV32/GV65</f>
        <v>0.10593665613120026</v>
      </c>
      <c r="HC32" s="105">
        <v>13</v>
      </c>
      <c r="HD32" s="1246"/>
      <c r="HE32" s="907" t="s">
        <v>1336</v>
      </c>
      <c r="HF32" s="134"/>
      <c r="HG32" s="125">
        <f>+VLOOKUP(HD13,'Cost x Depart'!$A$2:$AL$1275,HC32,0)</f>
        <v>384</v>
      </c>
      <c r="HH32" s="485">
        <f>+'Parametros Generales'!$J$9</f>
        <v>97381.818181818206</v>
      </c>
      <c r="HI32" s="482">
        <v>0</v>
      </c>
      <c r="HJ32" s="286">
        <f t="shared" ref="HJ32" si="818">+HG32*HH32*HG11</f>
        <v>186973090.90909094</v>
      </c>
      <c r="HK32" s="123"/>
      <c r="HO32" s="937">
        <f t="shared" ref="HO32" si="819">+HJ32/HJ65</f>
        <v>0.10552819606571144</v>
      </c>
      <c r="HQ32" s="105">
        <v>13</v>
      </c>
      <c r="HR32" s="1246"/>
      <c r="HS32" s="907" t="s">
        <v>1336</v>
      </c>
      <c r="HT32" s="134"/>
      <c r="HU32" s="125">
        <f>+VLOOKUP(HR13,'Cost x Depart'!$A$2:$AL$1275,HQ32,0)</f>
        <v>136</v>
      </c>
      <c r="HV32" s="485">
        <f>+'Parametros Generales'!$J$9</f>
        <v>97381.818181818206</v>
      </c>
      <c r="HW32" s="482">
        <v>0</v>
      </c>
      <c r="HX32" s="286">
        <f t="shared" ref="HX32" si="820">+HU32*HV32*HU11</f>
        <v>66219636.363636374</v>
      </c>
      <c r="HY32" s="123"/>
      <c r="IC32" s="937">
        <f t="shared" ref="IC32" si="821">+HX32/HX65</f>
        <v>0.10640483998487976</v>
      </c>
      <c r="IE32" s="105">
        <v>13</v>
      </c>
      <c r="IF32" s="1246"/>
      <c r="IG32" s="907" t="s">
        <v>1336</v>
      </c>
      <c r="IH32" s="134"/>
      <c r="II32" s="125">
        <f>+VLOOKUP(IF13,'Cost x Depart'!$A$2:$AL$1275,IE32,0)</f>
        <v>88</v>
      </c>
      <c r="IJ32" s="485">
        <f>+'Parametros Generales'!$J$9</f>
        <v>97381.818181818206</v>
      </c>
      <c r="IK32" s="482">
        <v>0</v>
      </c>
      <c r="IL32" s="286">
        <f t="shared" ref="IL32" si="822">+II32*IJ32*II11</f>
        <v>42848000.000000007</v>
      </c>
      <c r="IM32" s="123"/>
      <c r="IQ32" s="937">
        <f t="shared" ref="IQ32" si="823">+IL32/IL65</f>
        <v>0.1023591152374588</v>
      </c>
      <c r="IS32" s="105">
        <v>13</v>
      </c>
      <c r="IT32" s="1246"/>
      <c r="IU32" s="907" t="s">
        <v>1336</v>
      </c>
      <c r="IV32" s="134"/>
      <c r="IW32" s="125">
        <f>+VLOOKUP(IT13,'Cost x Depart'!$A$2:$AL$1275,IS32,0)</f>
        <v>568</v>
      </c>
      <c r="IX32" s="485">
        <f>+'Parametros Generales'!$J$9</f>
        <v>97381.818181818206</v>
      </c>
      <c r="IY32" s="482">
        <v>0</v>
      </c>
      <c r="IZ32" s="286">
        <f t="shared" ref="IZ32" si="824">+IW32*IX32*IW11</f>
        <v>276564363.63636369</v>
      </c>
      <c r="JA32" s="123"/>
      <c r="JE32" s="937">
        <f t="shared" ref="JE32" si="825">+IZ32/IZ65</f>
        <v>0.10624595931663103</v>
      </c>
      <c r="JG32" s="105">
        <v>9</v>
      </c>
      <c r="JH32" s="1246"/>
      <c r="JI32" s="907" t="s">
        <v>1336</v>
      </c>
      <c r="JJ32" s="134"/>
      <c r="JK32" s="125">
        <f t="shared" si="627"/>
        <v>656</v>
      </c>
      <c r="JL32" s="485">
        <f>+'Parametros Generales'!$J$9</f>
        <v>97381.818181818206</v>
      </c>
      <c r="JM32" s="482">
        <v>0</v>
      </c>
      <c r="JN32" s="286">
        <f t="shared" ref="JN32" si="826">+JK32*JL32*JK11</f>
        <v>319412363.63636369</v>
      </c>
      <c r="JO32" s="123"/>
      <c r="JS32" s="937">
        <f t="shared" ref="JS32" si="827">+JN32/JN65</f>
        <v>0.10570749711983345</v>
      </c>
      <c r="JU32" s="105">
        <v>13</v>
      </c>
      <c r="JV32" s="1246"/>
      <c r="JW32" s="907" t="s">
        <v>1336</v>
      </c>
      <c r="JX32" s="134"/>
      <c r="JY32" s="125">
        <f>+VLOOKUP(JV13,'Cost x Depart'!$A$2:$AL$1275,JU32,0)</f>
        <v>188</v>
      </c>
      <c r="JZ32" s="485">
        <f>+'Parametros Generales'!$J$9</f>
        <v>97381.818181818206</v>
      </c>
      <c r="KA32" s="482">
        <v>0</v>
      </c>
      <c r="KB32" s="286">
        <f t="shared" ref="KB32" si="828">+JY32*JZ32*JY11</f>
        <v>91538909.090909123</v>
      </c>
      <c r="KC32" s="123"/>
      <c r="KG32" s="937">
        <f t="shared" ref="KG32" si="829">+KB32/KB65</f>
        <v>0.10437360497205286</v>
      </c>
      <c r="KI32" s="105">
        <v>13</v>
      </c>
      <c r="KJ32" s="1246"/>
      <c r="KK32" s="907" t="s">
        <v>1336</v>
      </c>
      <c r="KL32" s="134"/>
      <c r="KM32" s="125">
        <f>+VLOOKUP(KJ13,'Cost x Depart'!$A$2:$AL$1275,KI32,0)</f>
        <v>112</v>
      </c>
      <c r="KN32" s="485">
        <f>+'Parametros Generales'!$J$9</f>
        <v>97381.818181818206</v>
      </c>
      <c r="KO32" s="482">
        <v>0</v>
      </c>
      <c r="KP32" s="286">
        <f t="shared" ref="KP32" si="830">+KM32*KN32*KM11</f>
        <v>54533818.181818195</v>
      </c>
      <c r="KQ32" s="123"/>
      <c r="KU32" s="937">
        <f t="shared" ref="KU32" si="831">+KP32/KP65</f>
        <v>0.1034052765412129</v>
      </c>
      <c r="KW32" s="105">
        <v>13</v>
      </c>
      <c r="KX32" s="1246"/>
      <c r="KY32" s="907" t="s">
        <v>1336</v>
      </c>
      <c r="KZ32" s="134"/>
      <c r="LA32" s="125">
        <f>+VLOOKUP(KX13,'Cost x Depart'!$A$2:$AL$1275,KW32,0)</f>
        <v>92</v>
      </c>
      <c r="LB32" s="485">
        <f>+'Parametros Generales'!$J$9</f>
        <v>97381.818181818206</v>
      </c>
      <c r="LC32" s="482">
        <v>0</v>
      </c>
      <c r="LD32" s="286">
        <f t="shared" ref="LD32" si="832">+LA32*LB32*LA11</f>
        <v>44795636.363636374</v>
      </c>
      <c r="LE32" s="123"/>
      <c r="LI32" s="937">
        <f t="shared" ref="LI32" si="833">+LD32/LD65</f>
        <v>0.10441672170040667</v>
      </c>
      <c r="LK32" s="105">
        <v>13</v>
      </c>
      <c r="LL32" s="1246"/>
      <c r="LM32" s="907" t="s">
        <v>1336</v>
      </c>
      <c r="LN32" s="134"/>
      <c r="LO32" s="125">
        <f>+VLOOKUP(LL13,'Cost x Depart'!$A$2:$AL$1275,LK32,0)</f>
        <v>242</v>
      </c>
      <c r="LP32" s="485">
        <f>+'Parametros Generales'!$J$9</f>
        <v>97381.818181818206</v>
      </c>
      <c r="LQ32" s="482">
        <v>0</v>
      </c>
      <c r="LR32" s="286">
        <f t="shared" ref="LR32" si="834">+LO32*LP32*LO11</f>
        <v>117832000.00000003</v>
      </c>
      <c r="LS32" s="123"/>
      <c r="LW32" s="937">
        <f t="shared" ref="LW32" si="835">+LR32/LR65</f>
        <v>0.10497891898585143</v>
      </c>
      <c r="LY32" s="105">
        <v>13</v>
      </c>
      <c r="LZ32" s="1246"/>
      <c r="MA32" s="907" t="s">
        <v>1336</v>
      </c>
      <c r="MB32" s="134"/>
      <c r="MC32" s="125">
        <f>+VLOOKUP(LZ13,'Cost x Depart'!$A$2:$AL$1275,LY32,0)</f>
        <v>240</v>
      </c>
      <c r="MD32" s="485">
        <f>+'Parametros Generales'!$J$9</f>
        <v>97381.818181818206</v>
      </c>
      <c r="ME32" s="482">
        <v>0</v>
      </c>
      <c r="MF32" s="286">
        <f t="shared" ref="MF32" si="836">+MC32*MD32*MC11</f>
        <v>116858181.81818186</v>
      </c>
      <c r="MG32" s="123"/>
      <c r="MK32" s="937">
        <f t="shared" ref="MK32" si="837">+MF32/MF65</f>
        <v>0.10495746891744188</v>
      </c>
      <c r="MM32" s="105">
        <v>13</v>
      </c>
      <c r="MN32" s="1246"/>
      <c r="MO32" s="907" t="s">
        <v>1336</v>
      </c>
      <c r="MP32" s="134"/>
      <c r="MQ32" s="125">
        <f>+VLOOKUP(MN13,'Cost x Depart'!$A$2:$AL$1275,MM32,0)</f>
        <v>252</v>
      </c>
      <c r="MR32" s="485">
        <f>+'Parametros Generales'!$J$9</f>
        <v>97381.818181818206</v>
      </c>
      <c r="MS32" s="482">
        <v>0</v>
      </c>
      <c r="MT32" s="286">
        <f t="shared" ref="MT32" si="838">+MQ32*MR32*MQ11</f>
        <v>122701090.90909094</v>
      </c>
      <c r="MU32" s="123"/>
      <c r="MY32" s="937">
        <f t="shared" ref="MY32" si="839">+MT32/MT65</f>
        <v>0.10769892936032803</v>
      </c>
      <c r="NA32" s="105">
        <v>13</v>
      </c>
      <c r="NB32" s="1246"/>
      <c r="NC32" s="907" t="s">
        <v>1336</v>
      </c>
      <c r="ND32" s="134"/>
      <c r="NE32" s="125">
        <f>+VLOOKUP(NB13,'Cost x Depart'!$A$2:$AL$1275,NA32,0)</f>
        <v>470</v>
      </c>
      <c r="NF32" s="485">
        <f>+'Parametros Generales'!$J$9</f>
        <v>97381.818181818206</v>
      </c>
      <c r="NG32" s="482">
        <v>0</v>
      </c>
      <c r="NH32" s="286">
        <f t="shared" ref="NH32" si="840">+NE32*NF32*NE11</f>
        <v>228847272.72727278</v>
      </c>
      <c r="NI32" s="123"/>
      <c r="NM32" s="937">
        <f t="shared" ref="NM32" si="841">+NH32/NH65</f>
        <v>0.10495719960955481</v>
      </c>
      <c r="NO32" s="105">
        <v>13</v>
      </c>
      <c r="NP32" s="1246"/>
      <c r="NQ32" s="907" t="s">
        <v>1336</v>
      </c>
      <c r="NR32" s="134"/>
      <c r="NS32" s="125">
        <f>+VLOOKUP(NP13,'Cost x Depart'!$A$2:$AL$1275,NO32,0)</f>
        <v>76</v>
      </c>
      <c r="NT32" s="485">
        <f>+'Parametros Generales'!$J$9</f>
        <v>97381.818181818206</v>
      </c>
      <c r="NU32" s="482">
        <v>0</v>
      </c>
      <c r="NV32" s="286">
        <f t="shared" ref="NV32" si="842">+NS32*NT32*NS11</f>
        <v>37005090.909090921</v>
      </c>
      <c r="NW32" s="123"/>
      <c r="OA32" s="937">
        <f t="shared" ref="OA32" si="843">+NV32/NV65</f>
        <v>0.10661456366428776</v>
      </c>
      <c r="OC32" s="105">
        <v>13</v>
      </c>
      <c r="OD32" s="1246"/>
      <c r="OE32" s="907" t="s">
        <v>1336</v>
      </c>
      <c r="OF32" s="134"/>
      <c r="OG32" s="125">
        <f>+VLOOKUP(OD13,'Cost x Depart'!$A$2:$AL$1275,OC32,0)</f>
        <v>96</v>
      </c>
      <c r="OH32" s="485">
        <f>+'Parametros Generales'!$J$9</f>
        <v>97381.818181818206</v>
      </c>
      <c r="OI32" s="482">
        <v>0</v>
      </c>
      <c r="OJ32" s="286">
        <f t="shared" ref="OJ32" si="844">+OG32*OH32*OG11</f>
        <v>46743272.727272734</v>
      </c>
      <c r="OK32" s="123"/>
      <c r="OO32" s="937">
        <f t="shared" ref="OO32" si="845">+OJ32/OJ65</f>
        <v>0.10333233963184667</v>
      </c>
      <c r="OQ32" s="105">
        <v>13</v>
      </c>
      <c r="OR32" s="1246"/>
      <c r="OS32" s="907" t="s">
        <v>1336</v>
      </c>
      <c r="OT32" s="134"/>
      <c r="OU32" s="125">
        <f>+VLOOKUP(OR13,'Cost x Depart'!$A$2:$AL$1275,OQ32,0)</f>
        <v>124</v>
      </c>
      <c r="OV32" s="485">
        <f>+'Parametros Generales'!$J$9</f>
        <v>97381.818181818206</v>
      </c>
      <c r="OW32" s="482">
        <v>0</v>
      </c>
      <c r="OX32" s="286">
        <f t="shared" ref="OX32" si="846">+OU32*OV32*OU11</f>
        <v>60376727.272727281</v>
      </c>
      <c r="OY32" s="123"/>
      <c r="PC32" s="937">
        <f t="shared" ref="PC32" si="847">+OX32/OX65</f>
        <v>0.10564545014182272</v>
      </c>
      <c r="PE32" s="105">
        <v>13</v>
      </c>
      <c r="PF32" s="1246"/>
      <c r="PG32" s="907" t="s">
        <v>1336</v>
      </c>
      <c r="PH32" s="134"/>
      <c r="PI32" s="125">
        <f>+VLOOKUP(PF13,'Cost x Depart'!$A$2:$AL$1275,PE32,0)</f>
        <v>30</v>
      </c>
      <c r="PJ32" s="485">
        <f>+'Parametros Generales'!$J$9</f>
        <v>97381.818181818206</v>
      </c>
      <c r="PK32" s="482">
        <v>0</v>
      </c>
      <c r="PL32" s="286">
        <f t="shared" ref="PL32" si="848">+PI32*PJ32*PI11</f>
        <v>14607272.727272732</v>
      </c>
      <c r="PM32" s="123"/>
      <c r="PQ32" s="937">
        <f t="shared" ref="PQ32" si="849">+PL32/PL65</f>
        <v>0.10051035105995597</v>
      </c>
      <c r="PS32" s="105">
        <v>13</v>
      </c>
      <c r="PT32" s="1246"/>
      <c r="PU32" s="907" t="s">
        <v>1336</v>
      </c>
      <c r="PV32" s="134"/>
      <c r="PW32" s="125">
        <f>+VLOOKUP(PT13,'Cost x Depart'!$A$2:$AL$1275,PS32,0)</f>
        <v>48</v>
      </c>
      <c r="PX32" s="485">
        <f>+'Parametros Generales'!$J$9</f>
        <v>97381.818181818206</v>
      </c>
      <c r="PY32" s="482">
        <v>0</v>
      </c>
      <c r="PZ32" s="286">
        <f t="shared" ref="PZ32" si="850">+PW32*PX32*PW11</f>
        <v>23371636.363636367</v>
      </c>
      <c r="QA32" s="123"/>
      <c r="QE32" s="937">
        <f t="shared" ref="QE32" si="851">+PZ32/PZ65</f>
        <v>0.1042069014287455</v>
      </c>
      <c r="QG32" s="105">
        <v>13</v>
      </c>
      <c r="QH32" s="1246"/>
      <c r="QI32" s="907" t="s">
        <v>1336</v>
      </c>
      <c r="QJ32" s="134"/>
      <c r="QK32" s="125">
        <f>+VLOOKUP(QH13,'Cost x Depart'!$A$2:$AL$1275,QG32,0)</f>
        <v>16</v>
      </c>
      <c r="QL32" s="485">
        <f>+'Parametros Generales'!$J$9</f>
        <v>97381.818181818206</v>
      </c>
      <c r="QM32" s="482">
        <v>0</v>
      </c>
      <c r="QN32" s="286">
        <f t="shared" ref="QN32" si="852">+QK32*QL32*QK11</f>
        <v>7790545.4545454569</v>
      </c>
      <c r="QO32" s="123"/>
      <c r="QS32" s="937">
        <f t="shared" ref="QS32" si="853">+QN32/QN65</f>
        <v>9.282699070021988E-2</v>
      </c>
      <c r="QU32" s="105">
        <v>13</v>
      </c>
      <c r="QV32" s="1246"/>
      <c r="QW32" s="907" t="s">
        <v>1336</v>
      </c>
      <c r="QX32" s="134"/>
      <c r="QY32" s="125">
        <f>+VLOOKUP(QV13,'Cost x Depart'!$A$2:$AL$1275,QU32,0)</f>
        <v>40</v>
      </c>
      <c r="QZ32" s="485">
        <f>+'Parametros Generales'!$J$9</f>
        <v>97381.818181818206</v>
      </c>
      <c r="RA32" s="482">
        <v>0</v>
      </c>
      <c r="RB32" s="286">
        <f t="shared" ref="RB32" si="854">+QY32*QZ32*QY11</f>
        <v>19476363.63636364</v>
      </c>
      <c r="RC32" s="123"/>
      <c r="RG32" s="937">
        <f t="shared" ref="RG32" si="855">+RB32/RB65</f>
        <v>0.10294487251842306</v>
      </c>
      <c r="RI32" s="105">
        <v>13</v>
      </c>
      <c r="RJ32" s="1246"/>
      <c r="RK32" s="907" t="s">
        <v>1336</v>
      </c>
      <c r="RL32" s="134"/>
      <c r="RM32" s="125">
        <f>+VLOOKUP(RJ13,'Cost x Depart'!$A$2:$AL$1275,RI32,0)</f>
        <v>16</v>
      </c>
      <c r="RN32" s="485">
        <f>+'Parametros Generales'!$J$9</f>
        <v>97381.818181818206</v>
      </c>
      <c r="RO32" s="482">
        <v>0</v>
      </c>
      <c r="RP32" s="286">
        <f t="shared" ref="RP32" si="856">+RM32*RN32*RM11</f>
        <v>7790545.4545454569</v>
      </c>
      <c r="RQ32" s="123"/>
      <c r="RU32" s="937">
        <f t="shared" ref="RU32" si="857">+RP32/RP65</f>
        <v>9.25782735054929E-2</v>
      </c>
      <c r="RW32" s="105">
        <v>13</v>
      </c>
      <c r="RX32" s="1246"/>
      <c r="RY32" s="907" t="s">
        <v>1336</v>
      </c>
      <c r="RZ32" s="134"/>
      <c r="SA32" s="125">
        <f>+VLOOKUP(RX13,'Cost x Depart'!$A$2:$AL$1275,RW32,0)</f>
        <v>26</v>
      </c>
      <c r="SB32" s="485">
        <f>+'Parametros Generales'!$J$9</f>
        <v>97381.818181818206</v>
      </c>
      <c r="SC32" s="482">
        <v>0</v>
      </c>
      <c r="SD32" s="286">
        <f t="shared" ref="SD32" si="858">+SA32*SB32*SA11</f>
        <v>12659636.363636367</v>
      </c>
      <c r="SE32" s="123"/>
      <c r="SI32" s="937">
        <f t="shared" ref="SI32" si="859">+SD32/SD65</f>
        <v>9.9068595851572974E-2</v>
      </c>
      <c r="SK32" s="105">
        <v>13</v>
      </c>
      <c r="SL32" s="1246"/>
      <c r="SM32" s="907" t="s">
        <v>1336</v>
      </c>
      <c r="SN32" s="134"/>
      <c r="SO32" s="125">
        <f>+VLOOKUP(SL13,'Cost x Depart'!$A$2:$AL$1275,SK32,0)</f>
        <v>0</v>
      </c>
      <c r="SP32" s="485">
        <f>+'Parametros Generales'!$J$9</f>
        <v>97381.818181818206</v>
      </c>
      <c r="SQ32" s="482">
        <v>0</v>
      </c>
      <c r="SR32" s="286">
        <f t="shared" ref="SR32" si="860">+SO32*SP32*SO11</f>
        <v>0</v>
      </c>
      <c r="SS32" s="123"/>
      <c r="SW32" s="937">
        <f>IF(ISERROR((+SR32/SR65)),0,(+SR32/SR65))</f>
        <v>0</v>
      </c>
      <c r="SY32" s="105">
        <v>9</v>
      </c>
      <c r="SZ32" s="1246"/>
      <c r="TA32" s="907" t="s">
        <v>1336</v>
      </c>
      <c r="TB32" s="134"/>
      <c r="TC32" s="125">
        <f>+E32+S32+AU32+BI32+BW32+CK32+CY32+DM32+EA32+EO32+FC32+FQ32+GE32+GS32+HG32+HU32+II32+IW32+JY32+KM32+LA32+LO32+MC32+MQ32+NE32+NS32+OG32+OU32+PI32+PW32+QK32+QY32+RM32+SA32+SO32</f>
        <v>7016</v>
      </c>
      <c r="TD32" s="485">
        <f>+'Parametros Generales'!$J$9</f>
        <v>97381.818181818206</v>
      </c>
      <c r="TE32" s="482">
        <v>0</v>
      </c>
      <c r="TF32" s="286">
        <f t="shared" ref="TF32" si="861">+TC32*TD32*TC11</f>
        <v>3416154181.8181825</v>
      </c>
      <c r="TG32" s="123"/>
      <c r="TK32" s="937">
        <f t="shared" ref="TK32" si="862">+TF32/TF65</f>
        <v>0.10520542729635585</v>
      </c>
    </row>
    <row r="33" spans="1:531" ht="18" customHeight="1">
      <c r="A33" s="105">
        <v>8</v>
      </c>
      <c r="B33" s="1222"/>
      <c r="C33" s="907" t="s">
        <v>1337</v>
      </c>
      <c r="D33" s="134"/>
      <c r="E33" s="483">
        <f>+VLOOKUP(B13,'Cost x Depart'!$A$2:$AL$1275,A33,0)*'Parametros Generales'!$C$11</f>
        <v>187200</v>
      </c>
      <c r="F33" s="485">
        <v>0</v>
      </c>
      <c r="G33" s="625">
        <f>+'Parametros Generales'!$J$10</f>
        <v>1228.2082306168022</v>
      </c>
      <c r="H33" s="286">
        <f>+(('Res de Costos X Dept'!E11)*'Res de Costos X Dept'!E33)*G33</f>
        <v>1149602903.857327</v>
      </c>
      <c r="I33" s="123"/>
      <c r="M33" s="937">
        <f>+H33/H65</f>
        <v>0.39381179573654307</v>
      </c>
      <c r="O33" s="105">
        <v>8</v>
      </c>
      <c r="P33" s="1246"/>
      <c r="Q33" s="907" t="s">
        <v>1337</v>
      </c>
      <c r="R33" s="134"/>
      <c r="S33" s="483">
        <f>+VLOOKUP(P13,'Cost x Depart'!$A$2:$AL$1275,O33,0)*'Parametros Generales'!$C$11</f>
        <v>43200</v>
      </c>
      <c r="T33" s="485">
        <v>0</v>
      </c>
      <c r="U33" s="625">
        <f>+'Parametros Generales'!$J$10</f>
        <v>1228.2082306168022</v>
      </c>
      <c r="V33" s="286">
        <f>+(('Res de Costos X Dept'!S11)*'Res de Costos X Dept'!S33)*U33</f>
        <v>265292977.81322926</v>
      </c>
      <c r="W33" s="123"/>
      <c r="AA33" s="937">
        <f t="shared" ref="AA33" si="863">+V33/V65</f>
        <v>0.38651633429866949</v>
      </c>
      <c r="AC33" s="105">
        <v>8</v>
      </c>
      <c r="AD33" s="1246"/>
      <c r="AE33" s="907" t="s">
        <v>1337</v>
      </c>
      <c r="AF33" s="134"/>
      <c r="AG33" s="483">
        <f t="shared" si="791"/>
        <v>230400</v>
      </c>
      <c r="AH33" s="485">
        <v>0</v>
      </c>
      <c r="AI33" s="625">
        <f>+'Parametros Generales'!$J$10</f>
        <v>1228.2082306168022</v>
      </c>
      <c r="AJ33" s="286">
        <f>+(('Res de Costos X Dept'!AG11)*'Res de Costos X Dept'!AG33)*AI33</f>
        <v>1414895881.6705561</v>
      </c>
      <c r="AK33" s="123"/>
      <c r="AO33" s="937">
        <f t="shared" ref="AO33" si="864">+AJ33/AJ65</f>
        <v>0.3924229927818908</v>
      </c>
      <c r="AQ33" s="105">
        <v>8</v>
      </c>
      <c r="AR33" s="1246"/>
      <c r="AS33" s="907" t="s">
        <v>1337</v>
      </c>
      <c r="AT33" s="134"/>
      <c r="AU33" s="483">
        <f>+VLOOKUP(AR13,'Cost x Depart'!$A$2:$AL$1275,AQ33,0)*'Parametros Generales'!$C$11</f>
        <v>67200</v>
      </c>
      <c r="AV33" s="485">
        <v>0</v>
      </c>
      <c r="AW33" s="625">
        <f>+'Parametros Generales'!$J$10</f>
        <v>1228.2082306168022</v>
      </c>
      <c r="AX33" s="286">
        <f>+(('Res de Costos X Dept'!AU11)*'Res de Costos X Dept'!AU33)*AW33</f>
        <v>412677965.48724556</v>
      </c>
      <c r="AY33" s="123"/>
      <c r="BC33" s="937">
        <f t="shared" ref="BC33" si="865">+AX33/AX65</f>
        <v>0.39642629412803737</v>
      </c>
      <c r="BE33" s="105">
        <v>8</v>
      </c>
      <c r="BF33" s="1246"/>
      <c r="BG33" s="907" t="s">
        <v>1337</v>
      </c>
      <c r="BH33" s="134"/>
      <c r="BI33" s="483">
        <f>+VLOOKUP(BF13,'Cost x Depart'!$A$2:$AL$1275,BE33,0)*'Parametros Generales'!$C$11</f>
        <v>97200</v>
      </c>
      <c r="BJ33" s="485">
        <v>0</v>
      </c>
      <c r="BK33" s="625">
        <f>+'Parametros Generales'!$J$10</f>
        <v>1228.2082306168022</v>
      </c>
      <c r="BL33" s="286">
        <f>+(('Res de Costos X Dept'!BI11)*'Res de Costos X Dept'!BI33)*BK33</f>
        <v>596909200.07976592</v>
      </c>
      <c r="BM33" s="123"/>
      <c r="BQ33" s="937">
        <f t="shared" ref="BQ33" si="866">+BL33/BL65</f>
        <v>0.39968830446814824</v>
      </c>
      <c r="BS33" s="105">
        <v>8</v>
      </c>
      <c r="BT33" s="1246"/>
      <c r="BU33" s="907" t="s">
        <v>1337</v>
      </c>
      <c r="BV33" s="134"/>
      <c r="BW33" s="483">
        <f>+VLOOKUP(BT13,'Cost x Depart'!$A$2:$AL$1275,BS33,0)*'Parametros Generales'!$C$11</f>
        <v>84000</v>
      </c>
      <c r="BX33" s="485">
        <v>0</v>
      </c>
      <c r="BY33" s="625">
        <f>+'Parametros Generales'!$J$10</f>
        <v>1228.2082306168022</v>
      </c>
      <c r="BZ33" s="286">
        <f>+(('Res de Costos X Dept'!BW11)*'Res de Costos X Dept'!BW33)*BY33</f>
        <v>515847456.85905695</v>
      </c>
      <c r="CA33" s="123"/>
      <c r="CE33" s="937">
        <f t="shared" ref="CE33" si="867">+BZ33/BZ65</f>
        <v>0.40374326481937672</v>
      </c>
      <c r="CG33" s="105">
        <v>8</v>
      </c>
      <c r="CH33" s="1246"/>
      <c r="CI33" s="907" t="s">
        <v>1337</v>
      </c>
      <c r="CJ33" s="134"/>
      <c r="CK33" s="483">
        <f>+VLOOKUP(CH13,'Cost x Depart'!$A$2:$AL$1275,CG33,0)*'Parametros Generales'!$C$11</f>
        <v>85200</v>
      </c>
      <c r="CL33" s="485">
        <v>0</v>
      </c>
      <c r="CM33" s="625">
        <f>+'Parametros Generales'!$J$10</f>
        <v>1228.2082306168022</v>
      </c>
      <c r="CN33" s="286">
        <f>+(('Res de Costos X Dept'!CK11)*'Res de Costos X Dept'!CK33)*CM33</f>
        <v>523216706.24275774</v>
      </c>
      <c r="CO33" s="123"/>
      <c r="CS33" s="937">
        <f t="shared" ref="CS33" si="868">+CN33/CN65</f>
        <v>0.40968213964175693</v>
      </c>
      <c r="CU33" s="105">
        <v>8</v>
      </c>
      <c r="CV33" s="1246"/>
      <c r="CW33" s="907" t="s">
        <v>1337</v>
      </c>
      <c r="CX33" s="134"/>
      <c r="CY33" s="483">
        <f>+VLOOKUP(CV13,'Cost x Depart'!$A$2:$AL$1275,CU33,0)*'Parametros Generales'!$C$11</f>
        <v>45600</v>
      </c>
      <c r="CZ33" s="485">
        <v>0</v>
      </c>
      <c r="DA33" s="625">
        <f>+'Parametros Generales'!$J$10</f>
        <v>1228.2082306168022</v>
      </c>
      <c r="DB33" s="286">
        <f>+(('Res de Costos X Dept'!CY11)*'Res de Costos X Dept'!CY33)*DA33</f>
        <v>280031476.5806309</v>
      </c>
      <c r="DC33" s="123"/>
      <c r="DG33" s="937">
        <f t="shared" ref="DG33" si="869">+DB33/DB65</f>
        <v>0.39975670650944417</v>
      </c>
      <c r="DI33" s="105">
        <v>8</v>
      </c>
      <c r="DJ33" s="1246"/>
      <c r="DK33" s="907" t="s">
        <v>1337</v>
      </c>
      <c r="DL33" s="134"/>
      <c r="DM33" s="483">
        <f>+VLOOKUP(DJ13,'Cost x Depart'!$A$2:$AL$1275,DI33,0)*'Parametros Generales'!$C$11</f>
        <v>91200</v>
      </c>
      <c r="DN33" s="485">
        <v>0</v>
      </c>
      <c r="DO33" s="625">
        <f>+'Parametros Generales'!$J$10</f>
        <v>1228.2082306168022</v>
      </c>
      <c r="DP33" s="286">
        <f>+(('Res de Costos X Dept'!DM11)*'Res de Costos X Dept'!DM33)*DO33</f>
        <v>560062953.1612618</v>
      </c>
      <c r="DQ33" s="123"/>
      <c r="DU33" s="937">
        <f t="shared" ref="DU33" si="870">+DP33/DP65</f>
        <v>0.39326982141821393</v>
      </c>
      <c r="DW33" s="105">
        <v>8</v>
      </c>
      <c r="DX33" s="1246"/>
      <c r="DY33" s="907" t="s">
        <v>1337</v>
      </c>
      <c r="DZ33" s="134"/>
      <c r="EA33" s="483">
        <f>+VLOOKUP(DX13,'Cost x Depart'!$A$2:$AL$1275,DW33,0)*'Parametros Generales'!$C$11</f>
        <v>66000</v>
      </c>
      <c r="EB33" s="485">
        <v>0</v>
      </c>
      <c r="EC33" s="625">
        <f>+'Parametros Generales'!$J$10</f>
        <v>1228.2082306168022</v>
      </c>
      <c r="ED33" s="286">
        <f>+(('Res de Costos X Dept'!EA11)*'Res de Costos X Dept'!EA33)*EC33</f>
        <v>405308716.10354471</v>
      </c>
      <c r="EE33" s="123"/>
      <c r="EI33" s="937">
        <f t="shared" ref="EI33" si="871">+ED33/ED65</f>
        <v>0.3962357919626423</v>
      </c>
      <c r="EK33" s="105">
        <v>8</v>
      </c>
      <c r="EL33" s="1246"/>
      <c r="EM33" s="907" t="s">
        <v>1337</v>
      </c>
      <c r="EN33" s="134"/>
      <c r="EO33" s="483">
        <f>+VLOOKUP(EL13,'Cost x Depart'!$A$2:$AL$1275,EK33,0)*'Parametros Generales'!$C$11</f>
        <v>94800</v>
      </c>
      <c r="EP33" s="485">
        <v>0</v>
      </c>
      <c r="EQ33" s="625">
        <f>+'Parametros Generales'!$J$10</f>
        <v>1228.2082306168022</v>
      </c>
      <c r="ER33" s="286">
        <f>+(('Res de Costos X Dept'!EO11)*'Res de Costos X Dept'!EO33)*EQ33</f>
        <v>582170701.31236422</v>
      </c>
      <c r="ES33" s="123"/>
      <c r="EW33" s="937">
        <f t="shared" ref="EW33" si="872">+ER33/ER65</f>
        <v>0.3995018844114907</v>
      </c>
      <c r="EY33" s="105">
        <v>8</v>
      </c>
      <c r="EZ33" s="1246"/>
      <c r="FA33" s="907" t="s">
        <v>1337</v>
      </c>
      <c r="FB33" s="134"/>
      <c r="FC33" s="483">
        <f>+VLOOKUP(EZ13,'Cost x Depart'!$A$2:$AL$1275,EY33,0)*'Parametros Generales'!$C$11</f>
        <v>102000</v>
      </c>
      <c r="FD33" s="485">
        <v>0</v>
      </c>
      <c r="FE33" s="625">
        <f>+'Parametros Generales'!$J$10</f>
        <v>1228.2082306168022</v>
      </c>
      <c r="FF33" s="286">
        <f>+(('Res de Costos X Dept'!FC11)*'Res de Costos X Dept'!FC33)*FE33</f>
        <v>626386197.61456919</v>
      </c>
      <c r="FG33" s="123"/>
      <c r="FK33" s="937">
        <f t="shared" ref="FK33" si="873">+FF33/FF65</f>
        <v>0.39959111877596004</v>
      </c>
      <c r="FM33" s="105">
        <v>8</v>
      </c>
      <c r="FN33" s="1246"/>
      <c r="FO33" s="907" t="s">
        <v>1337</v>
      </c>
      <c r="FP33" s="134"/>
      <c r="FQ33" s="483">
        <f>+VLOOKUP(FN13,'Cost x Depart'!$A$2:$AL$1275,FM33,0)*'Parametros Generales'!$C$11</f>
        <v>73800</v>
      </c>
      <c r="FR33" s="485">
        <v>0</v>
      </c>
      <c r="FS33" s="625">
        <f>+'Parametros Generales'!$J$10</f>
        <v>1228.2082306168022</v>
      </c>
      <c r="FT33" s="286">
        <f>+(('Res de Costos X Dept'!FQ11)*'Res de Costos X Dept'!FQ33)*FS33</f>
        <v>453208837.09760004</v>
      </c>
      <c r="FU33" s="123"/>
      <c r="FY33" s="937">
        <f t="shared" ref="FY33" si="874">+FT33/FT65</f>
        <v>0.39736598967832326</v>
      </c>
      <c r="GA33" s="105">
        <v>8</v>
      </c>
      <c r="GB33" s="1246"/>
      <c r="GC33" s="907" t="s">
        <v>1337</v>
      </c>
      <c r="GD33" s="134"/>
      <c r="GE33" s="483">
        <f>+VLOOKUP(GB13,'Cost x Depart'!$A$2:$AL$1275,GA33,0)*'Parametros Generales'!$C$11</f>
        <v>58200</v>
      </c>
      <c r="GF33" s="485">
        <v>0</v>
      </c>
      <c r="GG33" s="625">
        <f>+'Parametros Generales'!$J$10</f>
        <v>1228.2082306168022</v>
      </c>
      <c r="GH33" s="286">
        <f>+(('Res de Costos X Dept'!GE11)*'Res de Costos X Dept'!GE33)*GG33</f>
        <v>357408595.10948944</v>
      </c>
      <c r="GI33" s="123"/>
      <c r="GM33" s="937">
        <f t="shared" ref="GM33" si="875">+GH33/GH65</f>
        <v>0.40532859992290154</v>
      </c>
      <c r="GO33" s="105">
        <v>8</v>
      </c>
      <c r="GP33" s="1246"/>
      <c r="GQ33" s="907" t="s">
        <v>1337</v>
      </c>
      <c r="GR33" s="134"/>
      <c r="GS33" s="483">
        <f>+VLOOKUP(GP13,'Cost x Depart'!$A$2:$AL$1275,GO33,0)*'Parametros Generales'!$C$11</f>
        <v>36000</v>
      </c>
      <c r="GT33" s="485">
        <v>0</v>
      </c>
      <c r="GU33" s="625">
        <f>+'Parametros Generales'!$J$10</f>
        <v>1228.2082306168022</v>
      </c>
      <c r="GV33" s="286">
        <f>+(('Res de Costos X Dept'!GS11)*'Res de Costos X Dept'!GS33)*GU33</f>
        <v>221077481.51102439</v>
      </c>
      <c r="GW33" s="123"/>
      <c r="HA33" s="937">
        <f t="shared" ref="HA33" si="876">+GV33/GV65</f>
        <v>0.40083131147161566</v>
      </c>
      <c r="HC33" s="105">
        <v>8</v>
      </c>
      <c r="HD33" s="1246"/>
      <c r="HE33" s="907" t="s">
        <v>1337</v>
      </c>
      <c r="HF33" s="134"/>
      <c r="HG33" s="483">
        <f>+VLOOKUP(HD13,'Cost x Depart'!$A$2:$AL$1275,HC33,0)*'Parametros Generales'!$C$11</f>
        <v>115200</v>
      </c>
      <c r="HH33" s="485">
        <v>0</v>
      </c>
      <c r="HI33" s="625">
        <f>+'Parametros Generales'!$J$10</f>
        <v>1228.2082306168022</v>
      </c>
      <c r="HJ33" s="286">
        <f>+(('Res de Costos X Dept'!HG11)*'Res de Costos X Dept'!HG33)*HI33</f>
        <v>707447940.83527803</v>
      </c>
      <c r="HK33" s="123"/>
      <c r="HO33" s="937">
        <f t="shared" ref="HO33" si="877">+HJ33/HJ65</f>
        <v>0.3992858258039268</v>
      </c>
      <c r="HQ33" s="105">
        <v>8</v>
      </c>
      <c r="HR33" s="1246"/>
      <c r="HS33" s="907" t="s">
        <v>1337</v>
      </c>
      <c r="HT33" s="134"/>
      <c r="HU33" s="483">
        <f>+VLOOKUP(HR13,'Cost x Depart'!$A$2:$AL$1275,HQ33,0)*'Parametros Generales'!$C$11</f>
        <v>40800</v>
      </c>
      <c r="HV33" s="485">
        <v>0</v>
      </c>
      <c r="HW33" s="625">
        <f>+'Parametros Generales'!$J$10</f>
        <v>1228.2082306168022</v>
      </c>
      <c r="HX33" s="286">
        <f>+(('Res de Costos X Dept'!HU11)*'Res de Costos X Dept'!HU33)*HW33</f>
        <v>250554479.04582766</v>
      </c>
      <c r="HY33" s="123"/>
      <c r="IC33" s="937">
        <f t="shared" ref="IC33" si="878">+HX33/HX65</f>
        <v>0.40260277335207922</v>
      </c>
      <c r="IE33" s="105">
        <v>8</v>
      </c>
      <c r="IF33" s="1246"/>
      <c r="IG33" s="907" t="s">
        <v>1337</v>
      </c>
      <c r="IH33" s="134"/>
      <c r="II33" s="483">
        <f>+VLOOKUP(IF13,'Cost x Depart'!$A$2:$AL$1275,IE33,0)*'Parametros Generales'!$C$11</f>
        <v>26400</v>
      </c>
      <c r="IJ33" s="485">
        <v>0</v>
      </c>
      <c r="IK33" s="625">
        <f>+'Parametros Generales'!$J$10</f>
        <v>1228.2082306168022</v>
      </c>
      <c r="IL33" s="286">
        <f>+(('Res de Costos X Dept'!II11)*'Res de Costos X Dept'!II33)*IK33</f>
        <v>162123486.4414179</v>
      </c>
      <c r="IM33" s="123"/>
      <c r="IQ33" s="937">
        <f t="shared" ref="IQ33" si="879">+IL33/IL65</f>
        <v>0.38729501100064606</v>
      </c>
      <c r="IS33" s="105">
        <v>8</v>
      </c>
      <c r="IT33" s="1246"/>
      <c r="IU33" s="907" t="s">
        <v>1337</v>
      </c>
      <c r="IV33" s="134"/>
      <c r="IW33" s="483">
        <f>+VLOOKUP(IT13,'Cost x Depart'!$A$2:$AL$1275,IS33,0)*'Parametros Generales'!$C$11</f>
        <v>170400</v>
      </c>
      <c r="IX33" s="485">
        <v>0</v>
      </c>
      <c r="IY33" s="625">
        <f>+'Parametros Generales'!$J$10</f>
        <v>1228.2082306168022</v>
      </c>
      <c r="IZ33" s="286">
        <f>+(('Res de Costos X Dept'!IW11)*'Res de Costos X Dept'!IW33)*IY33</f>
        <v>1046433412.4855155</v>
      </c>
      <c r="JA33" s="123"/>
      <c r="JE33" s="937">
        <f t="shared" ref="JE33" si="880">+IZ33/IZ65</f>
        <v>0.40200161838884579</v>
      </c>
      <c r="JG33" s="105">
        <v>8</v>
      </c>
      <c r="JH33" s="1246"/>
      <c r="JI33" s="907" t="s">
        <v>1337</v>
      </c>
      <c r="JJ33" s="134"/>
      <c r="JK33" s="483">
        <f t="shared" si="627"/>
        <v>196800</v>
      </c>
      <c r="JL33" s="485">
        <v>0</v>
      </c>
      <c r="JM33" s="625">
        <f>+'Parametros Generales'!$J$10</f>
        <v>1228.2082306168022</v>
      </c>
      <c r="JN33" s="286">
        <f>+(('Res de Costos X Dept'!JK11)*'Res de Costos X Dept'!JK33)*JM33</f>
        <v>1208556898.9269333</v>
      </c>
      <c r="JO33" s="123"/>
      <c r="JS33" s="937">
        <f t="shared" ref="JS33" si="881">+JN33/JN65</f>
        <v>0.39996424514711387</v>
      </c>
      <c r="JU33" s="105">
        <v>8</v>
      </c>
      <c r="JV33" s="1246"/>
      <c r="JW33" s="907" t="s">
        <v>1337</v>
      </c>
      <c r="JX33" s="134"/>
      <c r="JY33" s="483">
        <f>+VLOOKUP(JV13,'Cost x Depart'!$A$2:$AL$1275,JU33,0)*'Parametros Generales'!$C$11</f>
        <v>56400</v>
      </c>
      <c r="JZ33" s="485">
        <v>0</v>
      </c>
      <c r="KA33" s="625">
        <f>+'Parametros Generales'!$J$10</f>
        <v>1228.2082306168022</v>
      </c>
      <c r="KB33" s="286">
        <f>+(('Res de Costos X Dept'!JY11)*'Res de Costos X Dept'!JY33)*KA33</f>
        <v>346354721.03393823</v>
      </c>
      <c r="KC33" s="123"/>
      <c r="KG33" s="937">
        <f t="shared" ref="KG33" si="882">+KB33/KB65</f>
        <v>0.39491721271771174</v>
      </c>
      <c r="KI33" s="105">
        <v>8</v>
      </c>
      <c r="KJ33" s="1246"/>
      <c r="KK33" s="907" t="s">
        <v>1337</v>
      </c>
      <c r="KL33" s="134"/>
      <c r="KM33" s="483">
        <f>+VLOOKUP(KJ13,'Cost x Depart'!$A$2:$AL$1275,KI33,0)*'Parametros Generales'!$C$11</f>
        <v>33600</v>
      </c>
      <c r="KN33" s="485">
        <v>0</v>
      </c>
      <c r="KO33" s="625">
        <f>+'Parametros Generales'!$J$10</f>
        <v>1228.2082306168022</v>
      </c>
      <c r="KP33" s="286">
        <f>+(('Res de Costos X Dept'!KM11)*'Res de Costos X Dept'!KM33)*KO33</f>
        <v>206338982.74362278</v>
      </c>
      <c r="KQ33" s="123"/>
      <c r="KU33" s="937">
        <f t="shared" ref="KU33" si="883">+KP33/KP65</f>
        <v>0.39125335953370971</v>
      </c>
      <c r="KW33" s="105">
        <v>8</v>
      </c>
      <c r="KX33" s="1246"/>
      <c r="KY33" s="907" t="s">
        <v>1337</v>
      </c>
      <c r="KZ33" s="134"/>
      <c r="LA33" s="483">
        <f>+VLOOKUP(KX13,'Cost x Depart'!$A$2:$AL$1275,KW33,0)*'Parametros Generales'!$C$11</f>
        <v>27600</v>
      </c>
      <c r="LB33" s="485">
        <v>0</v>
      </c>
      <c r="LC33" s="625">
        <f>+'Parametros Generales'!$J$10</f>
        <v>1228.2082306168022</v>
      </c>
      <c r="LD33" s="286">
        <f>+(('Res de Costos X Dept'!LA11)*'Res de Costos X Dept'!LA33)*LC33</f>
        <v>169492735.82511869</v>
      </c>
      <c r="LE33" s="123"/>
      <c r="LI33" s="937">
        <f t="shared" ref="LI33" si="884">+LD33/LD65</f>
        <v>0.3950803529885451</v>
      </c>
      <c r="LK33" s="105">
        <v>8</v>
      </c>
      <c r="LL33" s="1246"/>
      <c r="LM33" s="907" t="s">
        <v>1337</v>
      </c>
      <c r="LN33" s="134"/>
      <c r="LO33" s="483">
        <f>+VLOOKUP(LL13,'Cost x Depart'!$A$2:$AL$1275,LK33,0)*'Parametros Generales'!$C$11</f>
        <v>72600</v>
      </c>
      <c r="LP33" s="485">
        <v>0</v>
      </c>
      <c r="LQ33" s="625">
        <f>+'Parametros Generales'!$J$10</f>
        <v>1228.2082306168022</v>
      </c>
      <c r="LR33" s="286">
        <f>+(('Res de Costos X Dept'!LO11)*'Res de Costos X Dept'!LO33)*LQ33</f>
        <v>445839587.7138992</v>
      </c>
      <c r="LS33" s="123"/>
      <c r="LW33" s="937">
        <f t="shared" ref="LW33" si="885">+LR33/LR65</f>
        <v>0.39720753241312051</v>
      </c>
      <c r="LY33" s="105">
        <v>8</v>
      </c>
      <c r="LZ33" s="1246"/>
      <c r="MA33" s="907" t="s">
        <v>1337</v>
      </c>
      <c r="MB33" s="134"/>
      <c r="MC33" s="483">
        <f>+VLOOKUP(LZ13,'Cost x Depart'!$A$2:$AL$1275,LY33,0)*'Parametros Generales'!$C$11</f>
        <v>72000</v>
      </c>
      <c r="MD33" s="485">
        <v>0</v>
      </c>
      <c r="ME33" s="625">
        <f>+'Parametros Generales'!$J$10</f>
        <v>1228.2082306168022</v>
      </c>
      <c r="MF33" s="286">
        <f>+(('Res de Costos X Dept'!MC11)*'Res de Costos X Dept'!MC33)*ME33</f>
        <v>442154963.02204877</v>
      </c>
      <c r="MG33" s="123"/>
      <c r="MK33" s="937">
        <f t="shared" ref="MK33" si="886">+MF33/MF65</f>
        <v>0.39712637203515738</v>
      </c>
      <c r="MM33" s="105">
        <v>8</v>
      </c>
      <c r="MN33" s="1246"/>
      <c r="MO33" s="907" t="s">
        <v>1337</v>
      </c>
      <c r="MP33" s="134"/>
      <c r="MQ33" s="483">
        <f>+VLOOKUP(MN13,'Cost x Depart'!$A$2:$AL$1275,MM33,0)*'Parametros Generales'!$C$11</f>
        <v>75600</v>
      </c>
      <c r="MR33" s="485">
        <v>0</v>
      </c>
      <c r="MS33" s="625">
        <f>+'Parametros Generales'!$J$10</f>
        <v>1228.2082306168022</v>
      </c>
      <c r="MT33" s="286">
        <f>+(('Res de Costos X Dept'!MQ11)*'Res de Costos X Dept'!MQ33)*MS33</f>
        <v>464262711.17315125</v>
      </c>
      <c r="MU33" s="123"/>
      <c r="MY33" s="937">
        <f t="shared" ref="MY33" si="887">+MT33/MT65</f>
        <v>0.40749920448805921</v>
      </c>
      <c r="NA33" s="105">
        <v>8</v>
      </c>
      <c r="NB33" s="1246"/>
      <c r="NC33" s="907" t="s">
        <v>1337</v>
      </c>
      <c r="ND33" s="134"/>
      <c r="NE33" s="483">
        <f>+VLOOKUP(NB13,'Cost x Depart'!$A$2:$AL$1275,NA33,0)*'Parametros Generales'!$C$11</f>
        <v>141000</v>
      </c>
      <c r="NF33" s="485">
        <v>0</v>
      </c>
      <c r="NG33" s="625">
        <f>+'Parametros Generales'!$J$10</f>
        <v>1228.2082306168022</v>
      </c>
      <c r="NH33" s="286">
        <f>+(('Res de Costos X Dept'!NE11)*'Res de Costos X Dept'!NE33)*NG33</f>
        <v>865886802.58484554</v>
      </c>
      <c r="NI33" s="123"/>
      <c r="NM33" s="937">
        <f t="shared" ref="NM33" si="888">+NH33/NH65</f>
        <v>0.39712535305799213</v>
      </c>
      <c r="NO33" s="105">
        <v>8</v>
      </c>
      <c r="NP33" s="1246"/>
      <c r="NQ33" s="907" t="s">
        <v>1337</v>
      </c>
      <c r="NR33" s="134"/>
      <c r="NS33" s="483">
        <f>+VLOOKUP(NP13,'Cost x Depart'!$A$2:$AL$1275,NO33,0)*'Parametros Generales'!$C$11</f>
        <v>22800</v>
      </c>
      <c r="NT33" s="485">
        <v>0</v>
      </c>
      <c r="NU33" s="625">
        <f>+'Parametros Generales'!$J$10</f>
        <v>1228.2082306168022</v>
      </c>
      <c r="NV33" s="286">
        <f>+(('Res de Costos X Dept'!NS11)*'Res de Costos X Dept'!NS33)*NU33</f>
        <v>140015738.29031545</v>
      </c>
      <c r="NW33" s="123"/>
      <c r="OA33" s="937">
        <f t="shared" ref="OA33" si="889">+NV33/NV65</f>
        <v>0.40339630243383207</v>
      </c>
      <c r="OC33" s="105">
        <v>8</v>
      </c>
      <c r="OD33" s="1246"/>
      <c r="OE33" s="907" t="s">
        <v>1337</v>
      </c>
      <c r="OF33" s="134"/>
      <c r="OG33" s="483">
        <f>+VLOOKUP(OD13,'Cost x Depart'!$A$2:$AL$1275,OC33,0)*'Parametros Generales'!$C$11</f>
        <v>28800</v>
      </c>
      <c r="OH33" s="485">
        <v>0</v>
      </c>
      <c r="OI33" s="625">
        <f>+'Parametros Generales'!$J$10</f>
        <v>1228.2082306168022</v>
      </c>
      <c r="OJ33" s="286">
        <f>+(('Res de Costos X Dept'!OG11)*'Res de Costos X Dept'!OG33)*OI33</f>
        <v>176861985.20881951</v>
      </c>
      <c r="OK33" s="123"/>
      <c r="OO33" s="937">
        <f t="shared" ref="OO33" si="890">+OJ33/OJ65</f>
        <v>0.39097738898580281</v>
      </c>
      <c r="OQ33" s="105">
        <v>8</v>
      </c>
      <c r="OR33" s="1246"/>
      <c r="OS33" s="907" t="s">
        <v>1337</v>
      </c>
      <c r="OT33" s="134"/>
      <c r="OU33" s="483">
        <f>+VLOOKUP(OR13,'Cost x Depart'!$A$2:$AL$1275,OQ33,0)*'Parametros Generales'!$C$11</f>
        <v>37200</v>
      </c>
      <c r="OV33" s="485">
        <v>0</v>
      </c>
      <c r="OW33" s="625">
        <f>+'Parametros Generales'!$J$10</f>
        <v>1228.2082306168022</v>
      </c>
      <c r="OX33" s="286">
        <f>+(('Res de Costos X Dept'!OU11)*'Res de Costos X Dept'!OU33)*OW33</f>
        <v>228446730.8947252</v>
      </c>
      <c r="OY33" s="123"/>
      <c r="PC33" s="937">
        <f t="shared" ref="PC33" si="891">+OX33/OX65</f>
        <v>0.39972947870764758</v>
      </c>
      <c r="PE33" s="105">
        <v>8</v>
      </c>
      <c r="PF33" s="1246"/>
      <c r="PG33" s="907" t="s">
        <v>1337</v>
      </c>
      <c r="PH33" s="134"/>
      <c r="PI33" s="483">
        <f>+VLOOKUP(PF13,'Cost x Depart'!$A$2:$AL$1275,PE33,0)*'Parametros Generales'!$C$11</f>
        <v>9000</v>
      </c>
      <c r="PJ33" s="485">
        <v>0</v>
      </c>
      <c r="PK33" s="625">
        <f>+'Parametros Generales'!$J$10</f>
        <v>1228.2082306168022</v>
      </c>
      <c r="PL33" s="286">
        <f>+(('Res de Costos X Dept'!PI11)*'Res de Costos X Dept'!PI33)*PK33</f>
        <v>55269370.377756096</v>
      </c>
      <c r="PM33" s="123"/>
      <c r="PQ33" s="937">
        <f t="shared" ref="PQ33" si="892">+PL33/PL65</f>
        <v>0.38029986317426523</v>
      </c>
      <c r="PS33" s="105">
        <v>8</v>
      </c>
      <c r="PT33" s="1246"/>
      <c r="PU33" s="907" t="s">
        <v>1337</v>
      </c>
      <c r="PV33" s="134"/>
      <c r="PW33" s="483">
        <f>+VLOOKUP(PT13,'Cost x Depart'!$A$2:$AL$1275,PS33,0)*'Parametros Generales'!$C$11</f>
        <v>14400</v>
      </c>
      <c r="PX33" s="485">
        <v>0</v>
      </c>
      <c r="PY33" s="625">
        <f>+'Parametros Generales'!$J$10</f>
        <v>1228.2082306168022</v>
      </c>
      <c r="PZ33" s="286">
        <f>+(('Res de Costos X Dept'!PW11)*'Res de Costos X Dept'!PW33)*PY33</f>
        <v>88430992.604409754</v>
      </c>
      <c r="QA33" s="123"/>
      <c r="QE33" s="937">
        <f t="shared" ref="QE33" si="893">+PZ33/PZ65</f>
        <v>0.39428645843179116</v>
      </c>
      <c r="QG33" s="105">
        <v>8</v>
      </c>
      <c r="QH33" s="1246"/>
      <c r="QI33" s="907" t="s">
        <v>1337</v>
      </c>
      <c r="QJ33" s="134"/>
      <c r="QK33" s="483">
        <f>+VLOOKUP(QH13,'Cost x Depart'!$A$2:$AL$1275,QG33,0)*'Parametros Generales'!$C$11</f>
        <v>4800</v>
      </c>
      <c r="QL33" s="485">
        <v>0</v>
      </c>
      <c r="QM33" s="625">
        <f>+'Parametros Generales'!$J$10</f>
        <v>1228.2082306168022</v>
      </c>
      <c r="QN33" s="286">
        <f>+(('Res de Costos X Dept'!QK11)*'Res de Costos X Dept'!QK33)*QM33</f>
        <v>29476997.534803253</v>
      </c>
      <c r="QO33" s="123"/>
      <c r="QS33" s="937">
        <f t="shared" ref="QS33" si="894">+QN33/QN65</f>
        <v>0.35122842065404958</v>
      </c>
      <c r="QU33" s="105">
        <v>8</v>
      </c>
      <c r="QV33" s="1246"/>
      <c r="QW33" s="907" t="s">
        <v>1337</v>
      </c>
      <c r="QX33" s="134"/>
      <c r="QY33" s="483">
        <f>+VLOOKUP(QV13,'Cost x Depart'!$A$2:$AL$1275,QU33,0)*'Parametros Generales'!$C$11</f>
        <v>12000</v>
      </c>
      <c r="QZ33" s="485">
        <v>0</v>
      </c>
      <c r="RA33" s="625">
        <f>+'Parametros Generales'!$J$10</f>
        <v>1228.2082306168022</v>
      </c>
      <c r="RB33" s="286">
        <f>+(('Res de Costos X Dept'!QY11)*'Res de Costos X Dept'!QY33)*RA33</f>
        <v>73692493.837008134</v>
      </c>
      <c r="RC33" s="123"/>
      <c r="RG33" s="937">
        <f t="shared" ref="RG33" si="895">+RB33/RB65</f>
        <v>0.38951133411020472</v>
      </c>
      <c r="RI33" s="105">
        <v>8</v>
      </c>
      <c r="RJ33" s="1246"/>
      <c r="RK33" s="907" t="s">
        <v>1337</v>
      </c>
      <c r="RL33" s="134"/>
      <c r="RM33" s="483">
        <f>+VLOOKUP(RJ13,'Cost x Depart'!$A$2:$AL$1275,RI33,0)*'Parametros Generales'!$C$11</f>
        <v>4800</v>
      </c>
      <c r="RN33" s="485">
        <v>0</v>
      </c>
      <c r="RO33" s="625">
        <f>+'Parametros Generales'!$J$10</f>
        <v>1228.2082306168022</v>
      </c>
      <c r="RP33" s="286">
        <f>+(('Res de Costos X Dept'!RM11)*'Res de Costos X Dept'!RM33)*RO33</f>
        <v>29476997.534803253</v>
      </c>
      <c r="RQ33" s="123"/>
      <c r="RU33" s="937">
        <f t="shared" ref="RU33" si="896">+RP33/RP65</f>
        <v>0.35028735225535967</v>
      </c>
      <c r="RW33" s="105">
        <v>8</v>
      </c>
      <c r="RX33" s="1246"/>
      <c r="RY33" s="907" t="s">
        <v>1337</v>
      </c>
      <c r="RZ33" s="134"/>
      <c r="SA33" s="483">
        <f>+VLOOKUP(RX13,'Cost x Depart'!$A$2:$AL$1275,RW33,0)*'Parametros Generales'!$C$11</f>
        <v>7800</v>
      </c>
      <c r="SB33" s="485">
        <v>0</v>
      </c>
      <c r="SC33" s="625">
        <f>+'Parametros Generales'!$J$10</f>
        <v>1228.2082306168022</v>
      </c>
      <c r="SD33" s="286">
        <f>+(('Res de Costos X Dept'!SA11)*'Res de Costos X Dept'!SA33)*SC33</f>
        <v>47900120.994055286</v>
      </c>
      <c r="SE33" s="123"/>
      <c r="SI33" s="937">
        <f t="shared" ref="SI33" si="897">+SD33/SD65</f>
        <v>0.37484471051887591</v>
      </c>
      <c r="SK33" s="105">
        <v>8</v>
      </c>
      <c r="SL33" s="1246"/>
      <c r="SM33" s="907" t="s">
        <v>1337</v>
      </c>
      <c r="SN33" s="134"/>
      <c r="SO33" s="483">
        <f>+VLOOKUP(SL13,'Cost x Depart'!$A$2:$AL$1275,SK33,0)*'Parametros Generales'!$C$11</f>
        <v>0</v>
      </c>
      <c r="SP33" s="485">
        <v>0</v>
      </c>
      <c r="SQ33" s="625">
        <f>+'Parametros Generales'!$J$10</f>
        <v>1228.2082306168022</v>
      </c>
      <c r="SR33" s="286">
        <f>+(('Res de Costos X Dept'!SO11)*'Res de Costos X Dept'!SO33)*SQ33</f>
        <v>0</v>
      </c>
      <c r="SS33" s="123"/>
      <c r="SW33" s="937">
        <f>IF(ISERROR((+SR33/SR65)),0,(+SR33/SR65))</f>
        <v>0</v>
      </c>
      <c r="SY33" s="105">
        <v>8</v>
      </c>
      <c r="SZ33" s="1246"/>
      <c r="TA33" s="907" t="s">
        <v>1337</v>
      </c>
      <c r="TB33" s="134"/>
      <c r="TC33" s="483">
        <f>+E33+S33+AU33+BI33+BW33+CK33+CY33+DM33+EA33+EO33+FC33+FQ33+GE33+GS33+HG33+HU33+II33+IW33+JY33+KM33+LA33+LO33+MC33+MQ33+NE33+NS33+OG33+OU33+PI33+PW33+QK33+QY33+RM33+SA33+SO33</f>
        <v>2104800</v>
      </c>
      <c r="TD33" s="485">
        <v>0</v>
      </c>
      <c r="TE33" s="625">
        <f>+'Parametros Generales'!$J$10</f>
        <v>1228.2082306168022</v>
      </c>
      <c r="TF33" s="286">
        <f>+(('Res de Costos X Dept'!TC11)*'Res de Costos X Dept'!TC33)*TE33</f>
        <v>12925663419.011227</v>
      </c>
      <c r="TG33" s="123"/>
      <c r="TK33" s="937">
        <f t="shared" ref="TK33" si="898">+TF33/TF65</f>
        <v>0.3980645693111538</v>
      </c>
    </row>
    <row r="34" spans="1:531" ht="18" customHeight="1" thickBot="1">
      <c r="B34" s="1214"/>
      <c r="C34" s="908" t="s">
        <v>1338</v>
      </c>
      <c r="D34" s="519"/>
      <c r="E34" s="524">
        <f>+E31</f>
        <v>178.5</v>
      </c>
      <c r="F34" s="525">
        <v>0</v>
      </c>
      <c r="G34" s="526">
        <f>+'Parametros Generales'!$J$11</f>
        <v>33640</v>
      </c>
      <c r="H34" s="527">
        <f>+E34*G34</f>
        <v>6004740</v>
      </c>
      <c r="I34" s="123"/>
      <c r="M34" s="938">
        <f>+H34/H65</f>
        <v>2.0570037135401397E-3</v>
      </c>
      <c r="P34" s="1246"/>
      <c r="Q34" s="908" t="s">
        <v>1338</v>
      </c>
      <c r="R34" s="519"/>
      <c r="S34" s="524">
        <f t="shared" ref="S34" si="899">+S31</f>
        <v>42.300000000000004</v>
      </c>
      <c r="T34" s="525">
        <v>0</v>
      </c>
      <c r="U34" s="526">
        <f>+'Parametros Generales'!$J$11</f>
        <v>33640</v>
      </c>
      <c r="V34" s="527">
        <f t="shared" ref="V34" si="900">+S34*U34</f>
        <v>1422972.0000000002</v>
      </c>
      <c r="W34" s="123"/>
      <c r="AA34" s="938">
        <f t="shared" ref="AA34" si="901">+V34/V65</f>
        <v>2.0731868810973846E-3</v>
      </c>
      <c r="AD34" s="1246"/>
      <c r="AE34" s="908" t="s">
        <v>1338</v>
      </c>
      <c r="AF34" s="519"/>
      <c r="AG34" s="524">
        <f t="shared" si="791"/>
        <v>220.8</v>
      </c>
      <c r="AH34" s="525">
        <v>0</v>
      </c>
      <c r="AI34" s="526">
        <f>+'Parametros Generales'!$J$11</f>
        <v>33640</v>
      </c>
      <c r="AJ34" s="527">
        <f t="shared" ref="AJ34" si="902">+AG34*AI34</f>
        <v>7427712</v>
      </c>
      <c r="AK34" s="123"/>
      <c r="AO34" s="938">
        <f t="shared" ref="AO34" si="903">+AJ34/AJ65</f>
        <v>2.0600844276403413E-3</v>
      </c>
      <c r="AR34" s="1246"/>
      <c r="AS34" s="908" t="s">
        <v>1338</v>
      </c>
      <c r="AT34" s="519"/>
      <c r="AU34" s="524">
        <f t="shared" ref="AU34" si="904">+AU31</f>
        <v>65.399999999999991</v>
      </c>
      <c r="AV34" s="525">
        <v>0</v>
      </c>
      <c r="AW34" s="526">
        <f>+'Parametros Generales'!$J$11</f>
        <v>33640</v>
      </c>
      <c r="AX34" s="527">
        <f t="shared" ref="AX34" si="905">+AU34*AW34</f>
        <v>2200055.9999999995</v>
      </c>
      <c r="AY34" s="123"/>
      <c r="BC34" s="938">
        <f t="shared" ref="BC34" si="906">+AX34/AX65</f>
        <v>2.1134155925296395E-3</v>
      </c>
      <c r="BF34" s="1246"/>
      <c r="BG34" s="908" t="s">
        <v>1338</v>
      </c>
      <c r="BH34" s="519"/>
      <c r="BI34" s="524">
        <f t="shared" ref="BI34" si="907">+BI31</f>
        <v>93.524999999999991</v>
      </c>
      <c r="BJ34" s="525">
        <v>0</v>
      </c>
      <c r="BK34" s="526">
        <f>+'Parametros Generales'!$J$11</f>
        <v>33640</v>
      </c>
      <c r="BL34" s="527">
        <f t="shared" ref="BL34" si="908">+BI34*BK34</f>
        <v>3146180.9999999995</v>
      </c>
      <c r="BM34" s="123"/>
      <c r="BQ34" s="938">
        <f t="shared" ref="BQ34" si="909">+BL34/BL65</f>
        <v>2.1066717505306711E-3</v>
      </c>
      <c r="BT34" s="1246"/>
      <c r="BU34" s="908" t="s">
        <v>1338</v>
      </c>
      <c r="BV34" s="519"/>
      <c r="BW34" s="524">
        <f t="shared" ref="BW34:EA34" si="910">+BW31</f>
        <v>81.149999999999991</v>
      </c>
      <c r="BX34" s="525">
        <v>0</v>
      </c>
      <c r="BY34" s="526">
        <f>+'Parametros Generales'!$J$11</f>
        <v>33640</v>
      </c>
      <c r="BZ34" s="527">
        <f t="shared" ref="BZ34" si="911">+BW34*BY34</f>
        <v>2729885.9999999995</v>
      </c>
      <c r="CA34" s="123"/>
      <c r="CE34" s="938">
        <f t="shared" ref="CE34" si="912">+BZ34/BZ65</f>
        <v>2.1366259958626715E-3</v>
      </c>
      <c r="CH34" s="1246"/>
      <c r="CI34" s="908" t="s">
        <v>1338</v>
      </c>
      <c r="CJ34" s="519"/>
      <c r="CK34" s="524">
        <f t="shared" si="910"/>
        <v>82.274999999999991</v>
      </c>
      <c r="CL34" s="525">
        <v>0</v>
      </c>
      <c r="CM34" s="526">
        <f>+'Parametros Generales'!$J$11</f>
        <v>33640</v>
      </c>
      <c r="CN34" s="527">
        <f t="shared" ref="CN34" si="913">+CK34*CM34</f>
        <v>2767730.9999999995</v>
      </c>
      <c r="CO34" s="123"/>
      <c r="CS34" s="938">
        <f t="shared" ref="CS34" si="914">+CN34/CN65</f>
        <v>2.1671516687135875E-3</v>
      </c>
      <c r="CV34" s="1246"/>
      <c r="CW34" s="908" t="s">
        <v>1338</v>
      </c>
      <c r="CX34" s="519"/>
      <c r="CY34" s="524">
        <f t="shared" si="910"/>
        <v>44.550000000000004</v>
      </c>
      <c r="CZ34" s="525">
        <v>0</v>
      </c>
      <c r="DA34" s="526">
        <f>+'Parametros Generales'!$J$11</f>
        <v>33640</v>
      </c>
      <c r="DB34" s="527">
        <f t="shared" ref="DB34" si="915">+CY34*DA34</f>
        <v>1498662.0000000002</v>
      </c>
      <c r="DC34" s="123"/>
      <c r="DG34" s="938">
        <f t="shared" ref="DG34" si="916">+DB34/DB65</f>
        <v>2.1394030149976899E-3</v>
      </c>
      <c r="DJ34" s="1246"/>
      <c r="DK34" s="908" t="s">
        <v>1338</v>
      </c>
      <c r="DL34" s="519"/>
      <c r="DM34" s="524">
        <f t="shared" si="910"/>
        <v>87.899999999999991</v>
      </c>
      <c r="DN34" s="525">
        <v>0</v>
      </c>
      <c r="DO34" s="526">
        <f>+'Parametros Generales'!$J$11</f>
        <v>33640</v>
      </c>
      <c r="DP34" s="527">
        <f t="shared" ref="DP34" si="917">+DM34*DO34</f>
        <v>2956955.9999999995</v>
      </c>
      <c r="DQ34" s="123"/>
      <c r="DU34" s="938">
        <f t="shared" ref="DU34" si="918">+DP34/DP65</f>
        <v>2.0763407961509666E-3</v>
      </c>
      <c r="DX34" s="1246"/>
      <c r="DY34" s="908" t="s">
        <v>1338</v>
      </c>
      <c r="DZ34" s="519"/>
      <c r="EA34" s="524">
        <f t="shared" si="910"/>
        <v>64.275000000000006</v>
      </c>
      <c r="EB34" s="525">
        <v>0</v>
      </c>
      <c r="EC34" s="526">
        <f>+'Parametros Generales'!$J$11</f>
        <v>33640</v>
      </c>
      <c r="ED34" s="527">
        <f t="shared" ref="ED34" si="919">+EA34*EC34</f>
        <v>2162211</v>
      </c>
      <c r="EE34" s="123"/>
      <c r="EI34" s="938">
        <f t="shared" ref="EI34" si="920">+ED34/ED65</f>
        <v>2.1138094344767631E-3</v>
      </c>
      <c r="EL34" s="1246"/>
      <c r="EM34" s="908" t="s">
        <v>1338</v>
      </c>
      <c r="EN34" s="519"/>
      <c r="EO34" s="524">
        <f t="shared" ref="EO34:GS34" si="921">+EO31</f>
        <v>91.274999999999991</v>
      </c>
      <c r="EP34" s="525">
        <v>0</v>
      </c>
      <c r="EQ34" s="526">
        <f>+'Parametros Generales'!$J$11</f>
        <v>33640</v>
      </c>
      <c r="ER34" s="527">
        <f t="shared" ref="ER34" si="922">+EO34*EQ34</f>
        <v>3070490.9999999995</v>
      </c>
      <c r="ES34" s="123"/>
      <c r="EW34" s="938">
        <f t="shared" ref="EW34" si="923">+ER34/ER65</f>
        <v>2.1070571531739677E-3</v>
      </c>
      <c r="EZ34" s="1246"/>
      <c r="FA34" s="908" t="s">
        <v>1338</v>
      </c>
      <c r="FB34" s="519"/>
      <c r="FC34" s="524">
        <f t="shared" si="921"/>
        <v>98.024999999999991</v>
      </c>
      <c r="FD34" s="525">
        <v>0</v>
      </c>
      <c r="FE34" s="526">
        <f>+'Parametros Generales'!$J$11</f>
        <v>33640</v>
      </c>
      <c r="FF34" s="527">
        <f t="shared" ref="FF34" si="924">+FC34*FE34</f>
        <v>3297560.9999999995</v>
      </c>
      <c r="FG34" s="123"/>
      <c r="FK34" s="938">
        <f t="shared" ref="FK34" si="925">+FF34/FF65</f>
        <v>2.1036160985666735E-3</v>
      </c>
      <c r="FN34" s="1246"/>
      <c r="FO34" s="908" t="s">
        <v>1338</v>
      </c>
      <c r="FP34" s="519"/>
      <c r="FQ34" s="524">
        <f t="shared" si="921"/>
        <v>71.587499999999991</v>
      </c>
      <c r="FR34" s="525">
        <v>0</v>
      </c>
      <c r="FS34" s="526">
        <f>+'Parametros Generales'!$J$11</f>
        <v>33640</v>
      </c>
      <c r="FT34" s="527">
        <f t="shared" ref="FT34" si="926">+FQ34*FS34</f>
        <v>2408203.4999999995</v>
      </c>
      <c r="FU34" s="123"/>
      <c r="FY34" s="938">
        <f t="shared" ref="FY34" si="927">+FT34/FT65</f>
        <v>2.1114728769470615E-3</v>
      </c>
      <c r="GB34" s="1246"/>
      <c r="GC34" s="908" t="s">
        <v>1338</v>
      </c>
      <c r="GD34" s="519"/>
      <c r="GE34" s="524">
        <f t="shared" si="921"/>
        <v>56.362500000000004</v>
      </c>
      <c r="GF34" s="525">
        <v>0</v>
      </c>
      <c r="GG34" s="526">
        <f>+'Parametros Generales'!$J$11</f>
        <v>33640</v>
      </c>
      <c r="GH34" s="527">
        <f t="shared" ref="GH34" si="928">+GE34*GG34</f>
        <v>1896034.5000000002</v>
      </c>
      <c r="GI34" s="123"/>
      <c r="GM34" s="938">
        <f t="shared" ref="GM34" si="929">+GH34/GH65</f>
        <v>2.1502476991497347E-3</v>
      </c>
      <c r="GP34" s="1246"/>
      <c r="GQ34" s="908" t="s">
        <v>1338</v>
      </c>
      <c r="GR34" s="519"/>
      <c r="GS34" s="524">
        <f t="shared" si="921"/>
        <v>35.550000000000004</v>
      </c>
      <c r="GT34" s="525">
        <v>0</v>
      </c>
      <c r="GU34" s="526">
        <f>+'Parametros Generales'!$J$11</f>
        <v>33640</v>
      </c>
      <c r="GV34" s="527">
        <f t="shared" ref="GV34" si="930">+GS34*GU34</f>
        <v>1195902.0000000002</v>
      </c>
      <c r="GW34" s="123"/>
      <c r="HA34" s="938">
        <f t="shared" ref="HA34" si="931">+GV34/GV65</f>
        <v>2.1682668165713859E-3</v>
      </c>
      <c r="HD34" s="1246"/>
      <c r="HE34" s="908" t="s">
        <v>1338</v>
      </c>
      <c r="HF34" s="519"/>
      <c r="HG34" s="524">
        <f t="shared" ref="HG34:JY34" si="932">+HG31</f>
        <v>111</v>
      </c>
      <c r="HH34" s="525">
        <v>0</v>
      </c>
      <c r="HI34" s="526">
        <f>+'Parametros Generales'!$J$11</f>
        <v>33640</v>
      </c>
      <c r="HJ34" s="527">
        <f t="shared" ref="HJ34" si="933">+HG34*HI34</f>
        <v>3734040</v>
      </c>
      <c r="HK34" s="123"/>
      <c r="HO34" s="938">
        <f t="shared" ref="HO34" si="934">+HJ34/HJ65</f>
        <v>2.1075038302105211E-3</v>
      </c>
      <c r="HR34" s="1246"/>
      <c r="HS34" s="908" t="s">
        <v>1338</v>
      </c>
      <c r="HT34" s="519"/>
      <c r="HU34" s="524">
        <f t="shared" si="932"/>
        <v>40.050000000000004</v>
      </c>
      <c r="HV34" s="525">
        <v>0</v>
      </c>
      <c r="HW34" s="526">
        <f>+'Parametros Generales'!$J$11</f>
        <v>33640</v>
      </c>
      <c r="HX34" s="527">
        <f t="shared" ref="HX34" si="935">+HU34*HW34</f>
        <v>1347282.0000000002</v>
      </c>
      <c r="HY34" s="123"/>
      <c r="IC34" s="938">
        <f t="shared" ref="IC34" si="936">+HX34/HX65</f>
        <v>2.1648763644258177E-3</v>
      </c>
      <c r="IF34" s="1246"/>
      <c r="IG34" s="908" t="s">
        <v>1338</v>
      </c>
      <c r="IH34" s="519"/>
      <c r="II34" s="524">
        <f t="shared" si="932"/>
        <v>26.55</v>
      </c>
      <c r="IJ34" s="525">
        <v>0</v>
      </c>
      <c r="IK34" s="526">
        <f>+'Parametros Generales'!$J$11</f>
        <v>33640</v>
      </c>
      <c r="IL34" s="527">
        <f t="shared" ref="IL34" si="937">+II34*IK34</f>
        <v>893142</v>
      </c>
      <c r="IM34" s="123"/>
      <c r="IQ34" s="938">
        <f t="shared" ref="IQ34" si="938">+IL34/IL65</f>
        <v>2.1336170860113521E-3</v>
      </c>
      <c r="IT34" s="1246"/>
      <c r="IU34" s="908" t="s">
        <v>1338</v>
      </c>
      <c r="IV34" s="519"/>
      <c r="IW34" s="524">
        <f t="shared" si="932"/>
        <v>162.75</v>
      </c>
      <c r="IX34" s="525">
        <v>0</v>
      </c>
      <c r="IY34" s="526">
        <f>+'Parametros Generales'!$J$11</f>
        <v>33640</v>
      </c>
      <c r="IZ34" s="527">
        <f t="shared" ref="IZ34" si="939">+IW34*IY34</f>
        <v>5474910</v>
      </c>
      <c r="JA34" s="123"/>
      <c r="JE34" s="938">
        <f t="shared" ref="JE34" si="940">+IZ34/IZ65</f>
        <v>2.1032610907421121E-3</v>
      </c>
      <c r="JH34" s="1246"/>
      <c r="JI34" s="908" t="s">
        <v>1338</v>
      </c>
      <c r="JJ34" s="519"/>
      <c r="JK34" s="524">
        <f t="shared" si="627"/>
        <v>189.3</v>
      </c>
      <c r="JL34" s="525">
        <v>0</v>
      </c>
      <c r="JM34" s="526">
        <f>+'Parametros Generales'!$J$11</f>
        <v>33640</v>
      </c>
      <c r="JN34" s="527">
        <f t="shared" ref="JN34" si="941">+JK34*JM34</f>
        <v>6368052</v>
      </c>
      <c r="JO34" s="123"/>
      <c r="JS34" s="938">
        <f t="shared" ref="JS34" si="942">+JN34/JN65</f>
        <v>2.1074664448972333E-3</v>
      </c>
      <c r="JV34" s="1246"/>
      <c r="JW34" s="908" t="s">
        <v>1338</v>
      </c>
      <c r="JX34" s="519"/>
      <c r="JY34" s="524">
        <f t="shared" si="932"/>
        <v>54.675000000000004</v>
      </c>
      <c r="JZ34" s="525">
        <v>0</v>
      </c>
      <c r="KA34" s="526">
        <f>+'Parametros Generales'!$J$11</f>
        <v>33640</v>
      </c>
      <c r="KB34" s="527">
        <f t="shared" ref="KB34" si="943">+JY34*KA34</f>
        <v>1839267.0000000002</v>
      </c>
      <c r="KC34" s="123"/>
      <c r="KG34" s="938">
        <f t="shared" ref="KG34" si="944">+KB34/KB65</f>
        <v>2.097151137179083E-3</v>
      </c>
      <c r="KJ34" s="1246"/>
      <c r="KK34" s="908" t="s">
        <v>1338</v>
      </c>
      <c r="KL34" s="519"/>
      <c r="KM34" s="524">
        <f t="shared" ref="KM34:MQ34" si="945">+KM31</f>
        <v>33.300000000000004</v>
      </c>
      <c r="KN34" s="525">
        <v>0</v>
      </c>
      <c r="KO34" s="526">
        <f>+'Parametros Generales'!$J$11</f>
        <v>33640</v>
      </c>
      <c r="KP34" s="527">
        <f t="shared" ref="KP34" si="946">+KM34*KO34</f>
        <v>1120212.0000000002</v>
      </c>
      <c r="KQ34" s="123"/>
      <c r="KU34" s="938">
        <f t="shared" ref="KU34" si="947">+KP34/KP65</f>
        <v>2.1241100569665476E-3</v>
      </c>
      <c r="KX34" s="1246"/>
      <c r="KY34" s="908" t="s">
        <v>1338</v>
      </c>
      <c r="KZ34" s="519"/>
      <c r="LA34" s="524">
        <f t="shared" si="945"/>
        <v>27.675000000000001</v>
      </c>
      <c r="LB34" s="525">
        <v>0</v>
      </c>
      <c r="LC34" s="526">
        <f>+'Parametros Generales'!$J$11</f>
        <v>33640</v>
      </c>
      <c r="LD34" s="527">
        <f t="shared" ref="LD34" si="948">+LA34*LC34</f>
        <v>930987</v>
      </c>
      <c r="LE34" s="123"/>
      <c r="LI34" s="938">
        <f t="shared" ref="LI34" si="949">+LD34/LD65</f>
        <v>2.1700910708483401E-3</v>
      </c>
      <c r="LL34" s="1246"/>
      <c r="LM34" s="908" t="s">
        <v>1338</v>
      </c>
      <c r="LN34" s="519"/>
      <c r="LO34" s="524">
        <f t="shared" si="945"/>
        <v>70.462499999999991</v>
      </c>
      <c r="LP34" s="525">
        <v>0</v>
      </c>
      <c r="LQ34" s="526">
        <f>+'Parametros Generales'!$J$11</f>
        <v>33640</v>
      </c>
      <c r="LR34" s="527">
        <f t="shared" ref="LR34" si="950">+LO34*LQ34</f>
        <v>2370358.4999999995</v>
      </c>
      <c r="LS34" s="123"/>
      <c r="LW34" s="938">
        <f t="shared" ref="LW34" si="951">+LR34/LR65</f>
        <v>2.1118004696425775E-3</v>
      </c>
      <c r="LZ34" s="1246"/>
      <c r="MA34" s="908" t="s">
        <v>1338</v>
      </c>
      <c r="MB34" s="519"/>
      <c r="MC34" s="524">
        <f t="shared" si="945"/>
        <v>69.899999999999991</v>
      </c>
      <c r="MD34" s="525">
        <v>0</v>
      </c>
      <c r="ME34" s="526">
        <f>+'Parametros Generales'!$J$11</f>
        <v>33640</v>
      </c>
      <c r="MF34" s="527">
        <f t="shared" ref="MF34" si="952">+MC34*ME34</f>
        <v>2351435.9999999995</v>
      </c>
      <c r="MG34" s="123"/>
      <c r="MK34" s="938">
        <f t="shared" ref="MK34" si="953">+MF34/MF65</f>
        <v>2.1119682596580868E-3</v>
      </c>
      <c r="MN34" s="1246"/>
      <c r="MO34" s="908" t="s">
        <v>1338</v>
      </c>
      <c r="MP34" s="519"/>
      <c r="MQ34" s="524">
        <f t="shared" si="945"/>
        <v>73.274999999999991</v>
      </c>
      <c r="MR34" s="525">
        <v>0</v>
      </c>
      <c r="MS34" s="526">
        <f>+'Parametros Generales'!$J$11</f>
        <v>33640</v>
      </c>
      <c r="MT34" s="527">
        <f t="shared" ref="MT34" si="954">+MQ34*MS34</f>
        <v>2464970.9999999995</v>
      </c>
      <c r="MU34" s="123"/>
      <c r="MY34" s="938">
        <f t="shared" ref="MY34" si="955">+MT34/MT65</f>
        <v>2.1635890572557904E-3</v>
      </c>
      <c r="NB34" s="1246"/>
      <c r="NC34" s="908" t="s">
        <v>1338</v>
      </c>
      <c r="ND34" s="519"/>
      <c r="NE34" s="524">
        <f t="shared" ref="NE34:PI34" si="956">+NE31</f>
        <v>135.1875</v>
      </c>
      <c r="NF34" s="525">
        <v>0</v>
      </c>
      <c r="NG34" s="526">
        <f>+'Parametros Generales'!$J$11</f>
        <v>33640</v>
      </c>
      <c r="NH34" s="527">
        <f t="shared" ref="NH34" si="957">+NE34*NG34</f>
        <v>4547707.5</v>
      </c>
      <c r="NI34" s="123"/>
      <c r="NM34" s="938">
        <f t="shared" ref="NM34" si="958">+NH34/NH65</f>
        <v>2.0857344645404887E-3</v>
      </c>
      <c r="NP34" s="1246"/>
      <c r="NQ34" s="908" t="s">
        <v>1338</v>
      </c>
      <c r="NR34" s="519"/>
      <c r="NS34" s="524">
        <f t="shared" si="956"/>
        <v>22.574999999999999</v>
      </c>
      <c r="NT34" s="525">
        <v>0</v>
      </c>
      <c r="NU34" s="526">
        <f>+'Parametros Generales'!$J$11</f>
        <v>33640</v>
      </c>
      <c r="NV34" s="527">
        <f t="shared" ref="NV34" si="959">+NS34*NU34</f>
        <v>759423</v>
      </c>
      <c r="NW34" s="123"/>
      <c r="OA34" s="938">
        <f t="shared" ref="OA34" si="960">+NV34/NV65</f>
        <v>2.1879571105643159E-3</v>
      </c>
      <c r="OD34" s="1246"/>
      <c r="OE34" s="908" t="s">
        <v>1338</v>
      </c>
      <c r="OF34" s="519"/>
      <c r="OG34" s="524">
        <f t="shared" si="956"/>
        <v>28.8</v>
      </c>
      <c r="OH34" s="525">
        <v>0</v>
      </c>
      <c r="OI34" s="526">
        <f>+'Parametros Generales'!$J$11</f>
        <v>33640</v>
      </c>
      <c r="OJ34" s="527">
        <f t="shared" ref="OJ34" si="961">+OG34*OI34</f>
        <v>968832</v>
      </c>
      <c r="OK34" s="123"/>
      <c r="OO34" s="938">
        <f t="shared" ref="OO34" si="962">+OJ34/OJ65</f>
        <v>2.1417344449608964E-3</v>
      </c>
      <c r="OR34" s="1246"/>
      <c r="OS34" s="908" t="s">
        <v>1338</v>
      </c>
      <c r="OT34" s="519"/>
      <c r="OU34" s="524">
        <f t="shared" si="956"/>
        <v>36.675000000000004</v>
      </c>
      <c r="OV34" s="525">
        <v>0</v>
      </c>
      <c r="OW34" s="526">
        <f>+'Parametros Generales'!$J$11</f>
        <v>33640</v>
      </c>
      <c r="OX34" s="527">
        <f t="shared" ref="OX34" si="963">+OU34*OW34</f>
        <v>1233747.0000000002</v>
      </c>
      <c r="OY34" s="123"/>
      <c r="PC34" s="938">
        <f t="shared" ref="PC34" si="964">+OX34/OX65</f>
        <v>2.1587747972387872E-3</v>
      </c>
      <c r="PF34" s="1246"/>
      <c r="PG34" s="908" t="s">
        <v>1338</v>
      </c>
      <c r="PH34" s="519"/>
      <c r="PI34" s="524">
        <f t="shared" si="956"/>
        <v>9.6375000000000011</v>
      </c>
      <c r="PJ34" s="525">
        <v>0</v>
      </c>
      <c r="PK34" s="526">
        <f>+'Parametros Generales'!$J$11</f>
        <v>33640</v>
      </c>
      <c r="PL34" s="527">
        <f t="shared" ref="PL34" si="965">+PI34*PK34</f>
        <v>324205.50000000006</v>
      </c>
      <c r="PM34" s="123"/>
      <c r="PQ34" s="938">
        <f t="shared" ref="PQ34" si="966">+PL34/PL65</f>
        <v>2.230807162224633E-3</v>
      </c>
      <c r="PT34" s="1246"/>
      <c r="PU34" s="908" t="s">
        <v>1338</v>
      </c>
      <c r="PV34" s="519"/>
      <c r="PW34" s="524">
        <f t="shared" ref="PW34:SA34" si="967">+PW31</f>
        <v>14.700000000000001</v>
      </c>
      <c r="PX34" s="525">
        <v>0</v>
      </c>
      <c r="PY34" s="526">
        <f>+'Parametros Generales'!$J$11</f>
        <v>33640</v>
      </c>
      <c r="PZ34" s="527">
        <f t="shared" ref="PZ34" si="968">+PW34*PY34</f>
        <v>494508.00000000006</v>
      </c>
      <c r="QA34" s="123"/>
      <c r="QE34" s="938">
        <f t="shared" ref="QE34" si="969">+PZ34/PZ65</f>
        <v>2.2048582996055314E-3</v>
      </c>
      <c r="QH34" s="1246"/>
      <c r="QI34" s="908" t="s">
        <v>1338</v>
      </c>
      <c r="QJ34" s="519"/>
      <c r="QK34" s="524">
        <f t="shared" si="967"/>
        <v>5.7</v>
      </c>
      <c r="QL34" s="525">
        <v>0</v>
      </c>
      <c r="QM34" s="526">
        <f>+'Parametros Generales'!$J$11</f>
        <v>33640</v>
      </c>
      <c r="QN34" s="527">
        <f t="shared" ref="QN34" si="970">+QK34*QM34</f>
        <v>191748</v>
      </c>
      <c r="QO34" s="123"/>
      <c r="QS34" s="938">
        <f t="shared" ref="QS34" si="971">+QN34/QN65</f>
        <v>2.2847424376942135E-3</v>
      </c>
      <c r="QV34" s="1246"/>
      <c r="QW34" s="908" t="s">
        <v>1338</v>
      </c>
      <c r="QX34" s="519"/>
      <c r="QY34" s="524">
        <f t="shared" si="967"/>
        <v>12.450000000000001</v>
      </c>
      <c r="QZ34" s="525">
        <v>0</v>
      </c>
      <c r="RA34" s="526">
        <f>+'Parametros Generales'!$J$11</f>
        <v>33640</v>
      </c>
      <c r="RB34" s="527">
        <f t="shared" ref="RB34" si="972">+QY34*RA34</f>
        <v>418818.00000000006</v>
      </c>
      <c r="RC34" s="123"/>
      <c r="RG34" s="938">
        <f t="shared" ref="RG34" si="973">+RB34/RB65</f>
        <v>2.2137174281302743E-3</v>
      </c>
      <c r="RJ34" s="1246"/>
      <c r="RK34" s="908" t="s">
        <v>1338</v>
      </c>
      <c r="RL34" s="519"/>
      <c r="RM34" s="524">
        <f t="shared" si="967"/>
        <v>5.7</v>
      </c>
      <c r="RN34" s="525">
        <v>0</v>
      </c>
      <c r="RO34" s="526">
        <f>+'Parametros Generales'!$J$11</f>
        <v>33640</v>
      </c>
      <c r="RP34" s="527">
        <f t="shared" ref="RP34" si="974">+RM34*RO34</f>
        <v>191748</v>
      </c>
      <c r="RQ34" s="123"/>
      <c r="RU34" s="938">
        <f t="shared" ref="RU34" si="975">+RP34/RP65</f>
        <v>2.27862078357734E-3</v>
      </c>
      <c r="RX34" s="1246"/>
      <c r="RY34" s="908" t="s">
        <v>1338</v>
      </c>
      <c r="RZ34" s="519"/>
      <c r="SA34" s="524">
        <f t="shared" si="967"/>
        <v>8.5125000000000011</v>
      </c>
      <c r="SB34" s="525">
        <v>0</v>
      </c>
      <c r="SC34" s="526">
        <f>+'Parametros Generales'!$J$11</f>
        <v>33640</v>
      </c>
      <c r="SD34" s="527">
        <f t="shared" ref="SD34" si="976">+SA34*SC34</f>
        <v>286360.50000000006</v>
      </c>
      <c r="SE34" s="123"/>
      <c r="SI34" s="938">
        <f t="shared" ref="SI34" si="977">+SD34/SD65</f>
        <v>2.2409279245842045E-3</v>
      </c>
      <c r="SL34" s="1246"/>
      <c r="SM34" s="908" t="s">
        <v>1338</v>
      </c>
      <c r="SN34" s="519"/>
      <c r="SO34" s="524">
        <f t="shared" ref="SO34" si="978">+SO31</f>
        <v>0</v>
      </c>
      <c r="SP34" s="525">
        <v>0</v>
      </c>
      <c r="SQ34" s="526">
        <f>+'Parametros Generales'!$J$11</f>
        <v>33640</v>
      </c>
      <c r="SR34" s="527">
        <f t="shared" ref="SR34" si="979">+SO34*SQ34</f>
        <v>0</v>
      </c>
      <c r="SS34" s="123"/>
      <c r="SW34" s="938">
        <f>IF(ISERROR((+SR34/SR65)),0,(+SR34/SR65))</f>
        <v>0</v>
      </c>
      <c r="SZ34" s="1246"/>
      <c r="TA34" s="908" t="s">
        <v>1338</v>
      </c>
      <c r="TB34" s="519"/>
      <c r="TC34" s="524">
        <f>+E34+S34+AU34+BI34+BW34+CK34+CY34+DM34+EA34+EO34+FC34+FQ34+GE34+GS34+HG34+HU34+II34+IW34+JY34+KM34+LA34+LO34+MC34+MQ34+NE34+NS34+OG34+OU34+PI34+PW34+QK34+QY34+RM34+SA34+SO34</f>
        <v>2042.25</v>
      </c>
      <c r="TD34" s="525">
        <v>0</v>
      </c>
      <c r="TE34" s="526">
        <f>+'Parametros Generales'!$J$11</f>
        <v>33640</v>
      </c>
      <c r="TF34" s="527">
        <f t="shared" ref="TF34" si="980">+TC34*TE34</f>
        <v>68701290</v>
      </c>
      <c r="TG34" s="123"/>
      <c r="TK34" s="938">
        <f t="shared" ref="TK34" si="981">+TF34/TF65</f>
        <v>2.1157559599414883E-3</v>
      </c>
    </row>
    <row r="35" spans="1:531" ht="18" customHeight="1" thickBot="1">
      <c r="B35" s="949" t="s">
        <v>1339</v>
      </c>
      <c r="C35" s="129"/>
      <c r="D35" s="129"/>
      <c r="E35" s="129"/>
      <c r="F35" s="129"/>
      <c r="G35" s="129"/>
      <c r="H35" s="434">
        <f>+SUM(H30:H34)</f>
        <v>1495706996.5845997</v>
      </c>
      <c r="I35" s="131"/>
      <c r="P35" s="949" t="s">
        <v>1339</v>
      </c>
      <c r="Q35" s="129"/>
      <c r="R35" s="129"/>
      <c r="S35" s="129"/>
      <c r="T35" s="129"/>
      <c r="U35" s="129"/>
      <c r="V35" s="434">
        <f t="shared" ref="V35" si="982">+SUM(V30:V34)</f>
        <v>345544442.90413839</v>
      </c>
      <c r="W35" s="131"/>
      <c r="AD35" s="949" t="s">
        <v>1339</v>
      </c>
      <c r="AE35" s="129"/>
      <c r="AF35" s="129"/>
      <c r="AG35" s="129"/>
      <c r="AH35" s="129"/>
      <c r="AI35" s="129"/>
      <c r="AJ35" s="434">
        <f t="shared" ref="AJ35" si="983">+SUM(AJ30:AJ34)</f>
        <v>1841251439.4887381</v>
      </c>
      <c r="AK35" s="131"/>
      <c r="AR35" s="949" t="s">
        <v>1339</v>
      </c>
      <c r="AS35" s="129"/>
      <c r="AT35" s="129"/>
      <c r="AU35" s="129"/>
      <c r="AV35" s="129"/>
      <c r="AW35" s="129"/>
      <c r="AX35" s="434">
        <f t="shared" ref="AX35" si="984">+SUM(AX30:AX34)</f>
        <v>537375889.85088193</v>
      </c>
      <c r="AY35" s="131"/>
      <c r="BF35" s="949" t="s">
        <v>1339</v>
      </c>
      <c r="BG35" s="129"/>
      <c r="BH35" s="129"/>
      <c r="BI35" s="129"/>
      <c r="BJ35" s="129"/>
      <c r="BK35" s="129"/>
      <c r="BL35" s="434">
        <f t="shared" ref="BL35" si="985">+SUM(BL30:BL34)</f>
        <v>776907033.53431141</v>
      </c>
      <c r="BM35" s="131"/>
      <c r="BT35" s="949" t="s">
        <v>1339</v>
      </c>
      <c r="BU35" s="129"/>
      <c r="BV35" s="129"/>
      <c r="BW35" s="129"/>
      <c r="BX35" s="129"/>
      <c r="BY35" s="129"/>
      <c r="BZ35" s="434">
        <f t="shared" ref="BZ35:ED35" si="986">+SUM(BZ30:BZ34)</f>
        <v>671513330.31360245</v>
      </c>
      <c r="CA35" s="131"/>
      <c r="CH35" s="949" t="s">
        <v>1339</v>
      </c>
      <c r="CI35" s="129"/>
      <c r="CJ35" s="129"/>
      <c r="CK35" s="129"/>
      <c r="CL35" s="129"/>
      <c r="CM35" s="129"/>
      <c r="CN35" s="434">
        <f t="shared" si="986"/>
        <v>681094576.06093955</v>
      </c>
      <c r="CO35" s="131"/>
      <c r="CV35" s="949" t="s">
        <v>1339</v>
      </c>
      <c r="CW35" s="129"/>
      <c r="CX35" s="129"/>
      <c r="CY35" s="129"/>
      <c r="CZ35" s="129"/>
      <c r="DA35" s="129"/>
      <c r="DB35" s="434">
        <f t="shared" si="986"/>
        <v>364706934.39881277</v>
      </c>
      <c r="DC35" s="131"/>
      <c r="DJ35" s="949" t="s">
        <v>1339</v>
      </c>
      <c r="DK35" s="129"/>
      <c r="DL35" s="129"/>
      <c r="DM35" s="129"/>
      <c r="DN35" s="129"/>
      <c r="DO35" s="129"/>
      <c r="DP35" s="434">
        <f t="shared" si="986"/>
        <v>729000804.79762554</v>
      </c>
      <c r="DQ35" s="131"/>
      <c r="DX35" s="949" t="s">
        <v>1339</v>
      </c>
      <c r="DY35" s="129"/>
      <c r="DZ35" s="129"/>
      <c r="EA35" s="129"/>
      <c r="EB35" s="129"/>
      <c r="EC35" s="129"/>
      <c r="ED35" s="434">
        <f t="shared" si="986"/>
        <v>527794644.10354471</v>
      </c>
      <c r="EE35" s="131"/>
      <c r="EL35" s="949" t="s">
        <v>1339</v>
      </c>
      <c r="EM35" s="129"/>
      <c r="EN35" s="129"/>
      <c r="EO35" s="129"/>
      <c r="EP35" s="129"/>
      <c r="EQ35" s="129"/>
      <c r="ER35" s="434">
        <f t="shared" ref="ER35:GV35" si="987">+SUM(ER30:ER34)</f>
        <v>757744542.03963697</v>
      </c>
      <c r="ES35" s="131"/>
      <c r="EZ35" s="949" t="s">
        <v>1339</v>
      </c>
      <c r="FA35" s="129"/>
      <c r="FB35" s="129"/>
      <c r="FC35" s="129"/>
      <c r="FD35" s="129"/>
      <c r="FE35" s="129"/>
      <c r="FF35" s="434">
        <f t="shared" si="987"/>
        <v>815232016.52366018</v>
      </c>
      <c r="FG35" s="131"/>
      <c r="FN35" s="949" t="s">
        <v>1339</v>
      </c>
      <c r="FO35" s="129"/>
      <c r="FP35" s="129"/>
      <c r="FQ35" s="129"/>
      <c r="FR35" s="129"/>
      <c r="FS35" s="129"/>
      <c r="FT35" s="434">
        <f t="shared" si="987"/>
        <v>590072741.46123648</v>
      </c>
      <c r="FU35" s="131"/>
      <c r="GB35" s="949" t="s">
        <v>1339</v>
      </c>
      <c r="GC35" s="129"/>
      <c r="GD35" s="129"/>
      <c r="GE35" s="129"/>
      <c r="GF35" s="129"/>
      <c r="GG35" s="129"/>
      <c r="GH35" s="434">
        <f t="shared" si="987"/>
        <v>465310014.74585307</v>
      </c>
      <c r="GI35" s="131"/>
      <c r="GP35" s="949" t="s">
        <v>1339</v>
      </c>
      <c r="GQ35" s="129"/>
      <c r="GR35" s="129"/>
      <c r="GS35" s="129"/>
      <c r="GT35" s="129"/>
      <c r="GU35" s="129"/>
      <c r="GV35" s="434">
        <f t="shared" si="987"/>
        <v>288056968.42011529</v>
      </c>
      <c r="GW35" s="131"/>
      <c r="HD35" s="949" t="s">
        <v>1339</v>
      </c>
      <c r="HE35" s="129"/>
      <c r="HF35" s="129"/>
      <c r="HG35" s="129"/>
      <c r="HH35" s="129"/>
      <c r="HI35" s="129"/>
      <c r="HJ35" s="434">
        <f t="shared" ref="HJ35:KB35" si="988">+SUM(HJ30:HJ34)</f>
        <v>920832251.74436903</v>
      </c>
      <c r="HK35" s="131"/>
      <c r="HR35" s="949" t="s">
        <v>1339</v>
      </c>
      <c r="HS35" s="129"/>
      <c r="HT35" s="129"/>
      <c r="HU35" s="129"/>
      <c r="HV35" s="129"/>
      <c r="HW35" s="129"/>
      <c r="HX35" s="434">
        <f t="shared" si="988"/>
        <v>326381951.409464</v>
      </c>
      <c r="HY35" s="131"/>
      <c r="IF35" s="949" t="s">
        <v>1339</v>
      </c>
      <c r="IG35" s="129"/>
      <c r="IH35" s="129"/>
      <c r="II35" s="129"/>
      <c r="IJ35" s="129"/>
      <c r="IK35" s="129"/>
      <c r="IL35" s="434">
        <f t="shared" si="988"/>
        <v>211407002.4414179</v>
      </c>
      <c r="IM35" s="131"/>
      <c r="IT35" s="949" t="s">
        <v>1339</v>
      </c>
      <c r="IU35" s="129"/>
      <c r="IV35" s="129"/>
      <c r="IW35" s="129"/>
      <c r="IX35" s="129"/>
      <c r="IY35" s="129"/>
      <c r="IZ35" s="434">
        <f t="shared" si="988"/>
        <v>1361569556.1218791</v>
      </c>
      <c r="JA35" s="131"/>
      <c r="JH35" s="949" t="s">
        <v>1339</v>
      </c>
      <c r="JI35" s="129"/>
      <c r="JJ35" s="129"/>
      <c r="JK35" s="129"/>
      <c r="JL35" s="129"/>
      <c r="JM35" s="129"/>
      <c r="JN35" s="434">
        <f t="shared" ref="JN35" si="989">+SUM(JN30:JN34)</f>
        <v>1572976558.563297</v>
      </c>
      <c r="JO35" s="131"/>
      <c r="JV35" s="949" t="s">
        <v>1339</v>
      </c>
      <c r="JW35" s="129"/>
      <c r="JX35" s="129"/>
      <c r="JY35" s="129"/>
      <c r="JZ35" s="129"/>
      <c r="KA35" s="129"/>
      <c r="KB35" s="434">
        <f t="shared" si="988"/>
        <v>450938146.12484735</v>
      </c>
      <c r="KC35" s="131"/>
      <c r="KJ35" s="949" t="s">
        <v>1339</v>
      </c>
      <c r="KK35" s="129"/>
      <c r="KL35" s="129"/>
      <c r="KM35" s="129"/>
      <c r="KN35" s="129"/>
      <c r="KO35" s="129"/>
      <c r="KP35" s="434">
        <f t="shared" ref="KP35:MT35" si="990">+SUM(KP30:KP34)</f>
        <v>268894476.92544097</v>
      </c>
      <c r="KQ35" s="131"/>
      <c r="KX35" s="949" t="s">
        <v>1339</v>
      </c>
      <c r="KY35" s="129"/>
      <c r="KZ35" s="129"/>
      <c r="LA35" s="129"/>
      <c r="LB35" s="129"/>
      <c r="LC35" s="129"/>
      <c r="LD35" s="434">
        <f t="shared" si="990"/>
        <v>220988248.18875507</v>
      </c>
      <c r="LE35" s="131"/>
      <c r="LL35" s="949" t="s">
        <v>1339</v>
      </c>
      <c r="LM35" s="129"/>
      <c r="LN35" s="129"/>
      <c r="LO35" s="129"/>
      <c r="LP35" s="129"/>
      <c r="LQ35" s="129"/>
      <c r="LR35" s="434">
        <f t="shared" si="990"/>
        <v>580491495.71389925</v>
      </c>
      <c r="LS35" s="131"/>
      <c r="LZ35" s="949" t="s">
        <v>1339</v>
      </c>
      <c r="MA35" s="129"/>
      <c r="MB35" s="129"/>
      <c r="MC35" s="129"/>
      <c r="MD35" s="129"/>
      <c r="ME35" s="129"/>
      <c r="MF35" s="434">
        <f t="shared" si="990"/>
        <v>575700872.84023058</v>
      </c>
      <c r="MG35" s="131"/>
      <c r="MN35" s="949" t="s">
        <v>1339</v>
      </c>
      <c r="MO35" s="129"/>
      <c r="MP35" s="129"/>
      <c r="MQ35" s="129"/>
      <c r="MR35" s="129"/>
      <c r="MS35" s="129"/>
      <c r="MT35" s="434">
        <f t="shared" si="990"/>
        <v>604444610.08224225</v>
      </c>
      <c r="MU35" s="131"/>
      <c r="NB35" s="949" t="s">
        <v>1339</v>
      </c>
      <c r="NC35" s="129"/>
      <c r="ND35" s="129"/>
      <c r="NE35" s="129"/>
      <c r="NF35" s="129"/>
      <c r="NG35" s="129"/>
      <c r="NH35" s="434">
        <f t="shared" ref="NH35:PL35" si="991">+SUM(NH30:NH34)</f>
        <v>1126829035.3121183</v>
      </c>
      <c r="NI35" s="131"/>
      <c r="NP35" s="949" t="s">
        <v>1339</v>
      </c>
      <c r="NQ35" s="129"/>
      <c r="NR35" s="129"/>
      <c r="NS35" s="129"/>
      <c r="NT35" s="129"/>
      <c r="NU35" s="129"/>
      <c r="NV35" s="434">
        <f t="shared" si="991"/>
        <v>182456733.19940639</v>
      </c>
      <c r="NW35" s="131"/>
      <c r="OD35" s="949" t="s">
        <v>1339</v>
      </c>
      <c r="OE35" s="129"/>
      <c r="OF35" s="129"/>
      <c r="OG35" s="129"/>
      <c r="OH35" s="129"/>
      <c r="OI35" s="129"/>
      <c r="OJ35" s="434">
        <f t="shared" si="991"/>
        <v>230569493.93609226</v>
      </c>
      <c r="OK35" s="131"/>
      <c r="OR35" s="949" t="s">
        <v>1339</v>
      </c>
      <c r="OS35" s="129"/>
      <c r="OT35" s="129"/>
      <c r="OU35" s="129"/>
      <c r="OV35" s="129"/>
      <c r="OW35" s="129"/>
      <c r="OX35" s="434">
        <f t="shared" si="991"/>
        <v>297638214.16745245</v>
      </c>
      <c r="OY35" s="131"/>
      <c r="PF35" s="949" t="s">
        <v>1339</v>
      </c>
      <c r="PG35" s="129"/>
      <c r="PH35" s="129"/>
      <c r="PI35" s="129"/>
      <c r="PJ35" s="129"/>
      <c r="PK35" s="129"/>
      <c r="PL35" s="434">
        <f t="shared" si="991"/>
        <v>72272407.105028823</v>
      </c>
      <c r="PM35" s="131"/>
      <c r="PT35" s="949" t="s">
        <v>1339</v>
      </c>
      <c r="PU35" s="129"/>
      <c r="PV35" s="129"/>
      <c r="PW35" s="129"/>
      <c r="PX35" s="129"/>
      <c r="PY35" s="129"/>
      <c r="PZ35" s="434">
        <f t="shared" ref="PZ35:SD35" si="992">+SUM(PZ30:PZ34)</f>
        <v>115388012.96804613</v>
      </c>
      <c r="QA35" s="131"/>
      <c r="QH35" s="949" t="s">
        <v>1339</v>
      </c>
      <c r="QI35" s="129"/>
      <c r="QJ35" s="129"/>
      <c r="QK35" s="129"/>
      <c r="QL35" s="129"/>
      <c r="QM35" s="129"/>
      <c r="QN35" s="434">
        <f t="shared" si="992"/>
        <v>38738046.98934871</v>
      </c>
      <c r="QO35" s="131"/>
      <c r="QV35" s="949" t="s">
        <v>1339</v>
      </c>
      <c r="QW35" s="129"/>
      <c r="QX35" s="129"/>
      <c r="QY35" s="129"/>
      <c r="QZ35" s="129"/>
      <c r="RA35" s="129"/>
      <c r="RB35" s="434">
        <f t="shared" si="992"/>
        <v>96225521.473371774</v>
      </c>
      <c r="RC35" s="131"/>
      <c r="RJ35" s="949" t="s">
        <v>1339</v>
      </c>
      <c r="RK35" s="129"/>
      <c r="RL35" s="129"/>
      <c r="RM35" s="129"/>
      <c r="RN35" s="129"/>
      <c r="RO35" s="129"/>
      <c r="RP35" s="434">
        <f t="shared" si="992"/>
        <v>38738046.98934871</v>
      </c>
      <c r="RQ35" s="131"/>
      <c r="RX35" s="949" t="s">
        <v>1339</v>
      </c>
      <c r="RY35" s="129"/>
      <c r="RZ35" s="129"/>
      <c r="SA35" s="129"/>
      <c r="SB35" s="129"/>
      <c r="SC35" s="129"/>
      <c r="SD35" s="434">
        <f t="shared" si="992"/>
        <v>62691161.357691653</v>
      </c>
      <c r="SE35" s="131"/>
      <c r="SL35" s="949" t="s">
        <v>1339</v>
      </c>
      <c r="SM35" s="129"/>
      <c r="SN35" s="129"/>
      <c r="SO35" s="129"/>
      <c r="SP35" s="129"/>
      <c r="SQ35" s="129"/>
      <c r="SR35" s="434">
        <f t="shared" ref="SR35" si="993">+SUM(SR30:SR34)</f>
        <v>0</v>
      </c>
      <c r="SS35" s="131"/>
      <c r="SZ35" s="949" t="s">
        <v>1339</v>
      </c>
      <c r="TA35" s="129"/>
      <c r="TB35" s="129"/>
      <c r="TC35" s="129"/>
      <c r="TD35" s="129"/>
      <c r="TE35" s="129"/>
      <c r="TF35" s="434">
        <f t="shared" ref="TF35" si="994">+SUM(TF30:TF34)</f>
        <v>16829256220.829409</v>
      </c>
      <c r="TG35" s="131"/>
    </row>
    <row r="36" spans="1:531" ht="6.75" customHeight="1" thickBot="1">
      <c r="B36" s="111"/>
      <c r="C36" s="111"/>
      <c r="P36" s="111"/>
      <c r="Q36" s="111"/>
      <c r="AD36" s="111"/>
      <c r="AE36" s="111"/>
      <c r="AR36" s="111"/>
      <c r="AS36" s="111"/>
      <c r="BF36" s="111"/>
      <c r="BG36" s="111"/>
      <c r="BT36" s="111"/>
      <c r="BU36" s="111"/>
      <c r="CH36" s="111"/>
      <c r="CI36" s="111"/>
      <c r="CV36" s="111"/>
      <c r="CW36" s="111"/>
      <c r="DJ36" s="111"/>
      <c r="DK36" s="111"/>
      <c r="DX36" s="111"/>
      <c r="DY36" s="111"/>
      <c r="EL36" s="111"/>
      <c r="EM36" s="111"/>
      <c r="EZ36" s="111"/>
      <c r="FA36" s="111"/>
      <c r="FN36" s="111"/>
      <c r="FO36" s="111"/>
      <c r="GB36" s="111"/>
      <c r="GC36" s="111"/>
      <c r="GP36" s="111"/>
      <c r="GQ36" s="111"/>
      <c r="HD36" s="111"/>
      <c r="HE36" s="111"/>
      <c r="HR36" s="111"/>
      <c r="HS36" s="111"/>
      <c r="IF36" s="111"/>
      <c r="IG36" s="111"/>
      <c r="IT36" s="111"/>
      <c r="IU36" s="111"/>
      <c r="JH36" s="111"/>
      <c r="JI36" s="111"/>
      <c r="JV36" s="111"/>
      <c r="JW36" s="111"/>
      <c r="KJ36" s="111"/>
      <c r="KK36" s="111"/>
      <c r="KX36" s="111"/>
      <c r="KY36" s="111"/>
      <c r="LL36" s="111"/>
      <c r="LM36" s="111"/>
      <c r="LZ36" s="111"/>
      <c r="MA36" s="111"/>
      <c r="MN36" s="111"/>
      <c r="MO36" s="111"/>
      <c r="NB36" s="111"/>
      <c r="NC36" s="111"/>
      <c r="NP36" s="111"/>
      <c r="NQ36" s="111"/>
      <c r="OD36" s="111"/>
      <c r="OE36" s="111"/>
      <c r="OR36" s="111"/>
      <c r="OS36" s="111"/>
      <c r="PF36" s="111"/>
      <c r="PG36" s="111"/>
      <c r="PT36" s="111"/>
      <c r="PU36" s="111"/>
      <c r="QH36" s="111"/>
      <c r="QI36" s="111"/>
      <c r="QV36" s="111"/>
      <c r="QW36" s="111"/>
      <c r="RJ36" s="111"/>
      <c r="RK36" s="111"/>
      <c r="RX36" s="111"/>
      <c r="RY36" s="111"/>
      <c r="SL36" s="111"/>
      <c r="SM36" s="111"/>
      <c r="SZ36" s="111"/>
      <c r="TA36" s="111"/>
    </row>
    <row r="37" spans="1:531" ht="15.75" customHeight="1" thickBot="1">
      <c r="B37" s="1201" t="s">
        <v>2330</v>
      </c>
      <c r="C37" s="1202"/>
      <c r="D37" s="1202"/>
      <c r="E37" s="112"/>
      <c r="F37" s="113"/>
      <c r="G37" s="113"/>
      <c r="H37" s="464">
        <f>+H21+H26+H35</f>
        <v>2687848131.1705494</v>
      </c>
      <c r="I37" s="135"/>
      <c r="P37" s="1201" t="s">
        <v>2330</v>
      </c>
      <c r="Q37" s="1202"/>
      <c r="R37" s="1202"/>
      <c r="S37" s="112"/>
      <c r="T37" s="113"/>
      <c r="U37" s="113"/>
      <c r="V37" s="464">
        <f t="shared" ref="V37" si="995">+V21+V26+V35</f>
        <v>631980236.68204725</v>
      </c>
      <c r="W37" s="135"/>
      <c r="AD37" s="1201" t="s">
        <v>2330</v>
      </c>
      <c r="AE37" s="1202"/>
      <c r="AF37" s="1202"/>
      <c r="AG37" s="112"/>
      <c r="AH37" s="113"/>
      <c r="AI37" s="113"/>
      <c r="AJ37" s="464">
        <f t="shared" ref="AJ37" si="996">+AJ21+AJ26+AJ35</f>
        <v>3319828367.8525963</v>
      </c>
      <c r="AK37" s="135"/>
      <c r="AR37" s="1201" t="s">
        <v>2330</v>
      </c>
      <c r="AS37" s="1202"/>
      <c r="AT37" s="1202"/>
      <c r="AU37" s="112"/>
      <c r="AV37" s="113"/>
      <c r="AW37" s="113"/>
      <c r="AX37" s="464">
        <f t="shared" ref="AX37" si="997">+AX21+AX26+AX35</f>
        <v>958505088.72686398</v>
      </c>
      <c r="AY37" s="135"/>
      <c r="BF37" s="1201" t="s">
        <v>2330</v>
      </c>
      <c r="BG37" s="1202"/>
      <c r="BH37" s="1202"/>
      <c r="BI37" s="112"/>
      <c r="BJ37" s="113"/>
      <c r="BK37" s="113"/>
      <c r="BL37" s="464">
        <f t="shared" ref="BL37" si="998">+BL21+BL26+BL35</f>
        <v>1375094126.6653643</v>
      </c>
      <c r="BM37" s="135"/>
      <c r="BT37" s="1201" t="s">
        <v>2330</v>
      </c>
      <c r="BU37" s="1202"/>
      <c r="BV37" s="1202"/>
      <c r="BW37" s="112"/>
      <c r="BX37" s="113"/>
      <c r="BY37" s="113"/>
      <c r="BZ37" s="464">
        <f t="shared" ref="BZ37:ED37" si="999">+BZ21+BZ26+BZ35</f>
        <v>1176417829.5235682</v>
      </c>
      <c r="CA37" s="135"/>
      <c r="CH37" s="1201" t="s">
        <v>2330</v>
      </c>
      <c r="CI37" s="1202"/>
      <c r="CJ37" s="1202"/>
      <c r="CK37" s="112"/>
      <c r="CL37" s="113"/>
      <c r="CM37" s="113"/>
      <c r="CN37" s="464">
        <f t="shared" si="999"/>
        <v>1175926469.4687524</v>
      </c>
      <c r="CO37" s="135"/>
      <c r="CV37" s="1201" t="s">
        <v>2330</v>
      </c>
      <c r="CW37" s="1202"/>
      <c r="CX37" s="1202"/>
      <c r="CY37" s="112"/>
      <c r="CZ37" s="113"/>
      <c r="DA37" s="113"/>
      <c r="DB37" s="464">
        <f t="shared" si="999"/>
        <v>644995503.0460248</v>
      </c>
      <c r="DC37" s="135"/>
      <c r="DJ37" s="1201" t="s">
        <v>2330</v>
      </c>
      <c r="DK37" s="1202"/>
      <c r="DL37" s="1202"/>
      <c r="DM37" s="112"/>
      <c r="DN37" s="113"/>
      <c r="DO37" s="113"/>
      <c r="DP37" s="464">
        <f t="shared" si="999"/>
        <v>1311269077.7098076</v>
      </c>
      <c r="DQ37" s="135"/>
      <c r="DX37" s="1201" t="s">
        <v>2330</v>
      </c>
      <c r="DY37" s="1202"/>
      <c r="DZ37" s="1202"/>
      <c r="EA37" s="112"/>
      <c r="EB37" s="113"/>
      <c r="EC37" s="113"/>
      <c r="ED37" s="464">
        <f t="shared" si="999"/>
        <v>941841527.209324</v>
      </c>
      <c r="EE37" s="135"/>
      <c r="EL37" s="1201" t="s">
        <v>2330</v>
      </c>
      <c r="EM37" s="1202"/>
      <c r="EN37" s="1202"/>
      <c r="EO37" s="112"/>
      <c r="EP37" s="113"/>
      <c r="EQ37" s="113"/>
      <c r="ER37" s="464">
        <f t="shared" ref="ER37:GV37" si="1000">+ER21+ER26+ER35</f>
        <v>1341767003.6302841</v>
      </c>
      <c r="ES37" s="135"/>
      <c r="EZ37" s="1201" t="s">
        <v>2330</v>
      </c>
      <c r="FA37" s="1202"/>
      <c r="FB37" s="1202"/>
      <c r="FC37" s="112"/>
      <c r="FD37" s="113"/>
      <c r="FE37" s="113"/>
      <c r="FF37" s="464">
        <f t="shared" si="1000"/>
        <v>1443350965.598958</v>
      </c>
      <c r="FG37" s="135"/>
      <c r="FN37" s="1201" t="s">
        <v>2330</v>
      </c>
      <c r="FO37" s="1202"/>
      <c r="FP37" s="1202"/>
      <c r="FQ37" s="112"/>
      <c r="FR37" s="113"/>
      <c r="FS37" s="113"/>
      <c r="FT37" s="464">
        <f t="shared" si="1000"/>
        <v>1050154677.0733342</v>
      </c>
      <c r="FU37" s="135"/>
      <c r="GB37" s="1201" t="s">
        <v>2330</v>
      </c>
      <c r="GC37" s="1202"/>
      <c r="GD37" s="1202"/>
      <c r="GE37" s="112"/>
      <c r="GF37" s="113"/>
      <c r="GG37" s="113"/>
      <c r="GH37" s="464">
        <f t="shared" si="1000"/>
        <v>811901490.21365118</v>
      </c>
      <c r="GI37" s="135"/>
      <c r="GP37" s="1201" t="s">
        <v>2330</v>
      </c>
      <c r="GQ37" s="1202"/>
      <c r="GR37" s="1202"/>
      <c r="GS37" s="112"/>
      <c r="GT37" s="113"/>
      <c r="GU37" s="113"/>
      <c r="GV37" s="464">
        <f t="shared" si="1000"/>
        <v>507841822.40057731</v>
      </c>
      <c r="GW37" s="135"/>
      <c r="HD37" s="1201" t="s">
        <v>2330</v>
      </c>
      <c r="HE37" s="1202"/>
      <c r="HF37" s="1202"/>
      <c r="HG37" s="112"/>
      <c r="HH37" s="113"/>
      <c r="HI37" s="113"/>
      <c r="HJ37" s="464">
        <f t="shared" ref="HJ37:KB37" si="1001">+HJ21+HJ26+HJ35</f>
        <v>1631383960.3646202</v>
      </c>
      <c r="HK37" s="135"/>
      <c r="HR37" s="1201" t="s">
        <v>2330</v>
      </c>
      <c r="HS37" s="1202"/>
      <c r="HT37" s="1202"/>
      <c r="HU37" s="112"/>
      <c r="HV37" s="113"/>
      <c r="HW37" s="113"/>
      <c r="HX37" s="464">
        <f t="shared" si="1001"/>
        <v>573021613.66452122</v>
      </c>
      <c r="HY37" s="135"/>
      <c r="IF37" s="1201" t="s">
        <v>2330</v>
      </c>
      <c r="IG37" s="1202"/>
      <c r="IH37" s="1202"/>
      <c r="II37" s="112"/>
      <c r="IJ37" s="113"/>
      <c r="IK37" s="113"/>
      <c r="IL37" s="464">
        <f t="shared" si="1001"/>
        <v>385433649.11712587</v>
      </c>
      <c r="IM37" s="135"/>
      <c r="IT37" s="1201" t="s">
        <v>2330</v>
      </c>
      <c r="IU37" s="1202"/>
      <c r="IV37" s="1202"/>
      <c r="IW37" s="112"/>
      <c r="IX37" s="113"/>
      <c r="IY37" s="113"/>
      <c r="IZ37" s="464">
        <f t="shared" si="1001"/>
        <v>2396786729.3874688</v>
      </c>
      <c r="JA37" s="135"/>
      <c r="JH37" s="1201" t="s">
        <v>2330</v>
      </c>
      <c r="JI37" s="1202"/>
      <c r="JJ37" s="1202"/>
      <c r="JK37" s="112"/>
      <c r="JL37" s="113"/>
      <c r="JM37" s="113"/>
      <c r="JN37" s="464">
        <f t="shared" ref="JN37" si="1002">+JN21+JN26+JN35</f>
        <v>2782220378.5045948</v>
      </c>
      <c r="JO37" s="135"/>
      <c r="JV37" s="1201" t="s">
        <v>2330</v>
      </c>
      <c r="JW37" s="1202"/>
      <c r="JX37" s="1202"/>
      <c r="JY37" s="112"/>
      <c r="JZ37" s="113"/>
      <c r="KA37" s="113"/>
      <c r="KB37" s="464">
        <f t="shared" si="1001"/>
        <v>807533677.56326675</v>
      </c>
      <c r="KC37" s="135"/>
      <c r="KJ37" s="1201" t="s">
        <v>2330</v>
      </c>
      <c r="KK37" s="1202"/>
      <c r="KL37" s="1202"/>
      <c r="KM37" s="112"/>
      <c r="KN37" s="113"/>
      <c r="KO37" s="113"/>
      <c r="KP37" s="464">
        <f t="shared" ref="KP37:MT37" si="1003">+KP21+KP26+KP35</f>
        <v>485588955.29958791</v>
      </c>
      <c r="KQ37" s="135"/>
      <c r="KX37" s="1201" t="s">
        <v>2330</v>
      </c>
      <c r="KY37" s="1202"/>
      <c r="KZ37" s="1202"/>
      <c r="LA37" s="112"/>
      <c r="LB37" s="113"/>
      <c r="LC37" s="113"/>
      <c r="LD37" s="464">
        <f t="shared" si="1003"/>
        <v>395012875.1887759</v>
      </c>
      <c r="LE37" s="135"/>
      <c r="LL37" s="1201" t="s">
        <v>2330</v>
      </c>
      <c r="LM37" s="1202"/>
      <c r="LN37" s="1202"/>
      <c r="LO37" s="112"/>
      <c r="LP37" s="113"/>
      <c r="LQ37" s="113"/>
      <c r="LR37" s="464">
        <f t="shared" si="1003"/>
        <v>1033491115.555794</v>
      </c>
      <c r="LS37" s="135"/>
      <c r="LZ37" s="1201" t="s">
        <v>2330</v>
      </c>
      <c r="MA37" s="1202"/>
      <c r="MB37" s="1202"/>
      <c r="MC37" s="112"/>
      <c r="MD37" s="113"/>
      <c r="ME37" s="113"/>
      <c r="MF37" s="464">
        <f t="shared" si="1003"/>
        <v>1025159334.797024</v>
      </c>
      <c r="MG37" s="135"/>
      <c r="MN37" s="1201" t="s">
        <v>2330</v>
      </c>
      <c r="MO37" s="1202"/>
      <c r="MP37" s="1202"/>
      <c r="MQ37" s="112"/>
      <c r="MR37" s="113"/>
      <c r="MS37" s="113"/>
      <c r="MT37" s="464">
        <f t="shared" si="1003"/>
        <v>1049017257.0821286</v>
      </c>
      <c r="MU37" s="135"/>
      <c r="NB37" s="1201" t="s">
        <v>2330</v>
      </c>
      <c r="NC37" s="1202"/>
      <c r="ND37" s="1202"/>
      <c r="NE37" s="112"/>
      <c r="NF37" s="113"/>
      <c r="NG37" s="113"/>
      <c r="NH37" s="464">
        <f t="shared" ref="NH37:PL37" si="1004">+NH21+NH26+NH35</f>
        <v>2007608848.5869002</v>
      </c>
      <c r="NI37" s="135"/>
      <c r="NP37" s="1201" t="s">
        <v>2330</v>
      </c>
      <c r="NQ37" s="1202"/>
      <c r="NR37" s="1202"/>
      <c r="NS37" s="112"/>
      <c r="NT37" s="113"/>
      <c r="NU37" s="113"/>
      <c r="NV37" s="464">
        <f t="shared" si="1004"/>
        <v>319588053.30568695</v>
      </c>
      <c r="NW37" s="135"/>
      <c r="OD37" s="1201" t="s">
        <v>2330</v>
      </c>
      <c r="OE37" s="1202"/>
      <c r="OF37" s="1202"/>
      <c r="OG37" s="112"/>
      <c r="OH37" s="113"/>
      <c r="OI37" s="113"/>
      <c r="OJ37" s="464">
        <f t="shared" si="1004"/>
        <v>416512891.90096951</v>
      </c>
      <c r="OK37" s="135"/>
      <c r="OR37" s="1201" t="s">
        <v>2330</v>
      </c>
      <c r="OS37" s="1202"/>
      <c r="OT37" s="1202"/>
      <c r="OU37" s="112"/>
      <c r="OV37" s="113"/>
      <c r="OW37" s="113"/>
      <c r="OX37" s="464">
        <f t="shared" si="1004"/>
        <v>526216383.04680717</v>
      </c>
      <c r="OY37" s="135"/>
      <c r="PF37" s="1201" t="s">
        <v>2330</v>
      </c>
      <c r="PG37" s="1202"/>
      <c r="PH37" s="1202"/>
      <c r="PI37" s="112"/>
      <c r="PJ37" s="113"/>
      <c r="PK37" s="113"/>
      <c r="PL37" s="464">
        <f t="shared" si="1004"/>
        <v>133814736.34640887</v>
      </c>
      <c r="PM37" s="135"/>
      <c r="PT37" s="1201" t="s">
        <v>2330</v>
      </c>
      <c r="PU37" s="1202"/>
      <c r="PV37" s="1202"/>
      <c r="PW37" s="112"/>
      <c r="PX37" s="113"/>
      <c r="PY37" s="113"/>
      <c r="PZ37" s="464">
        <f t="shared" ref="PZ37:SD37" si="1005">+PZ21+PZ26+PZ35</f>
        <v>206508642.9826481</v>
      </c>
      <c r="QA37" s="135"/>
      <c r="QH37" s="1201" t="s">
        <v>2330</v>
      </c>
      <c r="QI37" s="1202"/>
      <c r="QJ37" s="1202"/>
      <c r="QK37" s="112"/>
      <c r="QL37" s="113"/>
      <c r="QM37" s="113"/>
      <c r="QN37" s="464">
        <f t="shared" si="1005"/>
        <v>77275031.18488948</v>
      </c>
      <c r="QO37" s="135"/>
      <c r="QV37" s="1201" t="s">
        <v>2330</v>
      </c>
      <c r="QW37" s="1202"/>
      <c r="QX37" s="1202"/>
      <c r="QY37" s="112"/>
      <c r="QZ37" s="113"/>
      <c r="RA37" s="113"/>
      <c r="RB37" s="464">
        <f t="shared" si="1005"/>
        <v>174200240.03320846</v>
      </c>
      <c r="RC37" s="135"/>
      <c r="RJ37" s="1201" t="s">
        <v>2330</v>
      </c>
      <c r="RK37" s="1202"/>
      <c r="RL37" s="1202"/>
      <c r="RM37" s="112"/>
      <c r="RN37" s="113"/>
      <c r="RO37" s="113"/>
      <c r="RP37" s="464">
        <f t="shared" si="1005"/>
        <v>77482635.283032507</v>
      </c>
      <c r="RQ37" s="135"/>
      <c r="RX37" s="1201" t="s">
        <v>2330</v>
      </c>
      <c r="RY37" s="1202"/>
      <c r="RZ37" s="1202"/>
      <c r="SA37" s="112"/>
      <c r="SB37" s="113"/>
      <c r="SC37" s="113"/>
      <c r="SD37" s="464">
        <f t="shared" si="1005"/>
        <v>117660534.87168905</v>
      </c>
      <c r="SE37" s="135"/>
      <c r="SL37" s="1201" t="s">
        <v>2330</v>
      </c>
      <c r="SM37" s="1202"/>
      <c r="SN37" s="1202"/>
      <c r="SO37" s="112"/>
      <c r="SP37" s="113"/>
      <c r="SQ37" s="113"/>
      <c r="SR37" s="464">
        <f t="shared" ref="SR37" si="1006">+SR21+SR26+SR35</f>
        <v>0</v>
      </c>
      <c r="SS37" s="135"/>
      <c r="SZ37" s="1201" t="s">
        <v>2330</v>
      </c>
      <c r="TA37" s="1202"/>
      <c r="TB37" s="1202"/>
      <c r="TC37" s="112"/>
      <c r="TD37" s="113"/>
      <c r="TE37" s="113"/>
      <c r="TF37" s="464">
        <f t="shared" ref="TF37" si="1007">+TF21+TF26+TF35</f>
        <v>29898191114.68166</v>
      </c>
      <c r="TG37" s="135"/>
    </row>
    <row r="38" spans="1:531" ht="6.75" customHeight="1" thickBot="1"/>
    <row r="39" spans="1:531" ht="28.5" customHeight="1" thickBot="1">
      <c r="B39" s="520" t="s">
        <v>1232</v>
      </c>
      <c r="C39" s="1206" t="s">
        <v>1219</v>
      </c>
      <c r="D39" s="1207"/>
      <c r="E39" s="1207"/>
      <c r="F39" s="1208"/>
      <c r="G39" s="521" t="s">
        <v>1364</v>
      </c>
      <c r="H39" s="522" t="s">
        <v>1332</v>
      </c>
      <c r="P39" s="520" t="s">
        <v>1232</v>
      </c>
      <c r="Q39" s="1207" t="s">
        <v>1219</v>
      </c>
      <c r="R39" s="1207"/>
      <c r="S39" s="1207"/>
      <c r="T39" s="1208"/>
      <c r="U39" s="521" t="s">
        <v>1364</v>
      </c>
      <c r="V39" s="522" t="s">
        <v>1332</v>
      </c>
      <c r="AD39" s="520" t="s">
        <v>1232</v>
      </c>
      <c r="AE39" s="1207" t="s">
        <v>1219</v>
      </c>
      <c r="AF39" s="1207"/>
      <c r="AG39" s="1207"/>
      <c r="AH39" s="1208"/>
      <c r="AI39" s="521" t="s">
        <v>1364</v>
      </c>
      <c r="AJ39" s="522" t="s">
        <v>1332</v>
      </c>
      <c r="AR39" s="520" t="s">
        <v>1232</v>
      </c>
      <c r="AS39" s="1207" t="s">
        <v>1219</v>
      </c>
      <c r="AT39" s="1207"/>
      <c r="AU39" s="1207"/>
      <c r="AV39" s="1208"/>
      <c r="AW39" s="521" t="s">
        <v>1364</v>
      </c>
      <c r="AX39" s="522" t="s">
        <v>1332</v>
      </c>
      <c r="BF39" s="520" t="s">
        <v>1232</v>
      </c>
      <c r="BG39" s="1207" t="s">
        <v>1219</v>
      </c>
      <c r="BH39" s="1207"/>
      <c r="BI39" s="1207"/>
      <c r="BJ39" s="1208"/>
      <c r="BK39" s="521" t="s">
        <v>1364</v>
      </c>
      <c r="BL39" s="522" t="s">
        <v>1332</v>
      </c>
      <c r="BT39" s="520" t="s">
        <v>1232</v>
      </c>
      <c r="BU39" s="1207" t="s">
        <v>1219</v>
      </c>
      <c r="BV39" s="1207"/>
      <c r="BW39" s="1207"/>
      <c r="BX39" s="1208"/>
      <c r="BY39" s="521" t="s">
        <v>1364</v>
      </c>
      <c r="BZ39" s="522" t="s">
        <v>1332</v>
      </c>
      <c r="CH39" s="520" t="s">
        <v>1232</v>
      </c>
      <c r="CI39" s="1207" t="s">
        <v>1219</v>
      </c>
      <c r="CJ39" s="1207"/>
      <c r="CK39" s="1207"/>
      <c r="CL39" s="1208"/>
      <c r="CM39" s="521" t="s">
        <v>1364</v>
      </c>
      <c r="CN39" s="522" t="s">
        <v>1332</v>
      </c>
      <c r="CV39" s="520" t="s">
        <v>1232</v>
      </c>
      <c r="CW39" s="1207" t="s">
        <v>1219</v>
      </c>
      <c r="CX39" s="1207"/>
      <c r="CY39" s="1207"/>
      <c r="CZ39" s="1208"/>
      <c r="DA39" s="521" t="s">
        <v>1364</v>
      </c>
      <c r="DB39" s="522" t="s">
        <v>1332</v>
      </c>
      <c r="DJ39" s="520" t="s">
        <v>1232</v>
      </c>
      <c r="DK39" s="1207" t="s">
        <v>1219</v>
      </c>
      <c r="DL39" s="1207"/>
      <c r="DM39" s="1207"/>
      <c r="DN39" s="1208"/>
      <c r="DO39" s="521" t="s">
        <v>1364</v>
      </c>
      <c r="DP39" s="522" t="s">
        <v>1332</v>
      </c>
      <c r="DX39" s="520" t="s">
        <v>1232</v>
      </c>
      <c r="DY39" s="1207" t="s">
        <v>1219</v>
      </c>
      <c r="DZ39" s="1207"/>
      <c r="EA39" s="1207"/>
      <c r="EB39" s="1208"/>
      <c r="EC39" s="521" t="s">
        <v>1364</v>
      </c>
      <c r="ED39" s="522" t="s">
        <v>1332</v>
      </c>
      <c r="EL39" s="520" t="s">
        <v>1232</v>
      </c>
      <c r="EM39" s="1207" t="s">
        <v>1219</v>
      </c>
      <c r="EN39" s="1207"/>
      <c r="EO39" s="1207"/>
      <c r="EP39" s="1208"/>
      <c r="EQ39" s="521" t="s">
        <v>1364</v>
      </c>
      <c r="ER39" s="522" t="s">
        <v>1332</v>
      </c>
      <c r="EZ39" s="520" t="s">
        <v>1232</v>
      </c>
      <c r="FA39" s="1207" t="s">
        <v>1219</v>
      </c>
      <c r="FB39" s="1207"/>
      <c r="FC39" s="1207"/>
      <c r="FD39" s="1208"/>
      <c r="FE39" s="521" t="s">
        <v>1364</v>
      </c>
      <c r="FF39" s="522" t="s">
        <v>1332</v>
      </c>
      <c r="FN39" s="520" t="s">
        <v>1232</v>
      </c>
      <c r="FO39" s="1207" t="s">
        <v>1219</v>
      </c>
      <c r="FP39" s="1207"/>
      <c r="FQ39" s="1207"/>
      <c r="FR39" s="1208"/>
      <c r="FS39" s="521" t="s">
        <v>1364</v>
      </c>
      <c r="FT39" s="522" t="s">
        <v>1332</v>
      </c>
      <c r="GB39" s="520" t="s">
        <v>1232</v>
      </c>
      <c r="GC39" s="1207" t="s">
        <v>1219</v>
      </c>
      <c r="GD39" s="1207"/>
      <c r="GE39" s="1207"/>
      <c r="GF39" s="1208"/>
      <c r="GG39" s="521" t="s">
        <v>1364</v>
      </c>
      <c r="GH39" s="522" t="s">
        <v>1332</v>
      </c>
      <c r="GP39" s="520" t="s">
        <v>1232</v>
      </c>
      <c r="GQ39" s="1207" t="s">
        <v>1219</v>
      </c>
      <c r="GR39" s="1207"/>
      <c r="GS39" s="1207"/>
      <c r="GT39" s="1208"/>
      <c r="GU39" s="521" t="s">
        <v>1364</v>
      </c>
      <c r="GV39" s="522" t="s">
        <v>1332</v>
      </c>
      <c r="HD39" s="520" t="s">
        <v>1232</v>
      </c>
      <c r="HE39" s="1207" t="s">
        <v>1219</v>
      </c>
      <c r="HF39" s="1207"/>
      <c r="HG39" s="1207"/>
      <c r="HH39" s="1208"/>
      <c r="HI39" s="521" t="s">
        <v>1364</v>
      </c>
      <c r="HJ39" s="522" t="s">
        <v>1332</v>
      </c>
      <c r="HR39" s="520" t="s">
        <v>1232</v>
      </c>
      <c r="HS39" s="1207" t="s">
        <v>1219</v>
      </c>
      <c r="HT39" s="1207"/>
      <c r="HU39" s="1207"/>
      <c r="HV39" s="1208"/>
      <c r="HW39" s="521" t="s">
        <v>1364</v>
      </c>
      <c r="HX39" s="522" t="s">
        <v>1332</v>
      </c>
      <c r="IF39" s="520" t="s">
        <v>1232</v>
      </c>
      <c r="IG39" s="1207" t="s">
        <v>1219</v>
      </c>
      <c r="IH39" s="1207"/>
      <c r="II39" s="1207"/>
      <c r="IJ39" s="1208"/>
      <c r="IK39" s="521" t="s">
        <v>1364</v>
      </c>
      <c r="IL39" s="522" t="s">
        <v>1332</v>
      </c>
      <c r="IT39" s="520" t="s">
        <v>1232</v>
      </c>
      <c r="IU39" s="1207" t="s">
        <v>1219</v>
      </c>
      <c r="IV39" s="1207"/>
      <c r="IW39" s="1207"/>
      <c r="IX39" s="1208"/>
      <c r="IY39" s="521" t="s">
        <v>1364</v>
      </c>
      <c r="IZ39" s="522" t="s">
        <v>1332</v>
      </c>
      <c r="JH39" s="520" t="s">
        <v>1232</v>
      </c>
      <c r="JI39" s="1207" t="s">
        <v>1219</v>
      </c>
      <c r="JJ39" s="1207"/>
      <c r="JK39" s="1207"/>
      <c r="JL39" s="1208"/>
      <c r="JM39" s="521" t="s">
        <v>1364</v>
      </c>
      <c r="JN39" s="522" t="s">
        <v>1332</v>
      </c>
      <c r="JV39" s="520" t="s">
        <v>1232</v>
      </c>
      <c r="JW39" s="1207" t="s">
        <v>1219</v>
      </c>
      <c r="JX39" s="1207"/>
      <c r="JY39" s="1207"/>
      <c r="JZ39" s="1208"/>
      <c r="KA39" s="521" t="s">
        <v>1364</v>
      </c>
      <c r="KB39" s="522" t="s">
        <v>1332</v>
      </c>
      <c r="KJ39" s="520" t="s">
        <v>1232</v>
      </c>
      <c r="KK39" s="1207" t="s">
        <v>1219</v>
      </c>
      <c r="KL39" s="1207"/>
      <c r="KM39" s="1207"/>
      <c r="KN39" s="1208"/>
      <c r="KO39" s="521" t="s">
        <v>1364</v>
      </c>
      <c r="KP39" s="522" t="s">
        <v>1332</v>
      </c>
      <c r="KX39" s="520" t="s">
        <v>1232</v>
      </c>
      <c r="KY39" s="1207" t="s">
        <v>1219</v>
      </c>
      <c r="KZ39" s="1207"/>
      <c r="LA39" s="1207"/>
      <c r="LB39" s="1208"/>
      <c r="LC39" s="521" t="s">
        <v>1364</v>
      </c>
      <c r="LD39" s="522" t="s">
        <v>1332</v>
      </c>
      <c r="LL39" s="520" t="s">
        <v>1232</v>
      </c>
      <c r="LM39" s="1207" t="s">
        <v>1219</v>
      </c>
      <c r="LN39" s="1207"/>
      <c r="LO39" s="1207"/>
      <c r="LP39" s="1208"/>
      <c r="LQ39" s="521" t="s">
        <v>1364</v>
      </c>
      <c r="LR39" s="522" t="s">
        <v>1332</v>
      </c>
      <c r="LZ39" s="520" t="s">
        <v>1232</v>
      </c>
      <c r="MA39" s="1207" t="s">
        <v>1219</v>
      </c>
      <c r="MB39" s="1207"/>
      <c r="MC39" s="1207"/>
      <c r="MD39" s="1208"/>
      <c r="ME39" s="521" t="s">
        <v>1364</v>
      </c>
      <c r="MF39" s="522" t="s">
        <v>1332</v>
      </c>
      <c r="MN39" s="520" t="s">
        <v>1232</v>
      </c>
      <c r="MO39" s="1207" t="s">
        <v>1219</v>
      </c>
      <c r="MP39" s="1207"/>
      <c r="MQ39" s="1207"/>
      <c r="MR39" s="1208"/>
      <c r="MS39" s="521" t="s">
        <v>1364</v>
      </c>
      <c r="MT39" s="522" t="s">
        <v>1332</v>
      </c>
      <c r="NB39" s="520" t="s">
        <v>1232</v>
      </c>
      <c r="NC39" s="1207" t="s">
        <v>1219</v>
      </c>
      <c r="ND39" s="1207"/>
      <c r="NE39" s="1207"/>
      <c r="NF39" s="1208"/>
      <c r="NG39" s="521" t="s">
        <v>1364</v>
      </c>
      <c r="NH39" s="522" t="s">
        <v>1332</v>
      </c>
      <c r="NP39" s="520" t="s">
        <v>1232</v>
      </c>
      <c r="NQ39" s="1207" t="s">
        <v>1219</v>
      </c>
      <c r="NR39" s="1207"/>
      <c r="NS39" s="1207"/>
      <c r="NT39" s="1208"/>
      <c r="NU39" s="521" t="s">
        <v>1364</v>
      </c>
      <c r="NV39" s="522" t="s">
        <v>1332</v>
      </c>
      <c r="OD39" s="520" t="s">
        <v>1232</v>
      </c>
      <c r="OE39" s="1207" t="s">
        <v>1219</v>
      </c>
      <c r="OF39" s="1207"/>
      <c r="OG39" s="1207"/>
      <c r="OH39" s="1208"/>
      <c r="OI39" s="521" t="s">
        <v>1364</v>
      </c>
      <c r="OJ39" s="522" t="s">
        <v>1332</v>
      </c>
      <c r="OR39" s="520" t="s">
        <v>1232</v>
      </c>
      <c r="OS39" s="1207" t="s">
        <v>1219</v>
      </c>
      <c r="OT39" s="1207"/>
      <c r="OU39" s="1207"/>
      <c r="OV39" s="1208"/>
      <c r="OW39" s="521" t="s">
        <v>1364</v>
      </c>
      <c r="OX39" s="522" t="s">
        <v>1332</v>
      </c>
      <c r="PF39" s="520" t="s">
        <v>1232</v>
      </c>
      <c r="PG39" s="1207" t="s">
        <v>1219</v>
      </c>
      <c r="PH39" s="1207"/>
      <c r="PI39" s="1207"/>
      <c r="PJ39" s="1208"/>
      <c r="PK39" s="521" t="s">
        <v>1364</v>
      </c>
      <c r="PL39" s="522" t="s">
        <v>1332</v>
      </c>
      <c r="PT39" s="520" t="s">
        <v>1232</v>
      </c>
      <c r="PU39" s="1207" t="s">
        <v>1219</v>
      </c>
      <c r="PV39" s="1207"/>
      <c r="PW39" s="1207"/>
      <c r="PX39" s="1208"/>
      <c r="PY39" s="521" t="s">
        <v>1364</v>
      </c>
      <c r="PZ39" s="522" t="s">
        <v>1332</v>
      </c>
      <c r="QH39" s="520" t="s">
        <v>1232</v>
      </c>
      <c r="QI39" s="1207" t="s">
        <v>1219</v>
      </c>
      <c r="QJ39" s="1207"/>
      <c r="QK39" s="1207"/>
      <c r="QL39" s="1208"/>
      <c r="QM39" s="521" t="s">
        <v>1364</v>
      </c>
      <c r="QN39" s="522" t="s">
        <v>1332</v>
      </c>
      <c r="QV39" s="520" t="s">
        <v>1232</v>
      </c>
      <c r="QW39" s="1207" t="s">
        <v>1219</v>
      </c>
      <c r="QX39" s="1207"/>
      <c r="QY39" s="1207"/>
      <c r="QZ39" s="1208"/>
      <c r="RA39" s="521" t="s">
        <v>1364</v>
      </c>
      <c r="RB39" s="522" t="s">
        <v>1332</v>
      </c>
      <c r="RJ39" s="520" t="s">
        <v>1232</v>
      </c>
      <c r="RK39" s="1207" t="s">
        <v>1219</v>
      </c>
      <c r="RL39" s="1207"/>
      <c r="RM39" s="1207"/>
      <c r="RN39" s="1208"/>
      <c r="RO39" s="521" t="s">
        <v>1364</v>
      </c>
      <c r="RP39" s="522" t="s">
        <v>1332</v>
      </c>
      <c r="RX39" s="520" t="s">
        <v>1232</v>
      </c>
      <c r="RY39" s="1207" t="s">
        <v>1219</v>
      </c>
      <c r="RZ39" s="1207"/>
      <c r="SA39" s="1207"/>
      <c r="SB39" s="1208"/>
      <c r="SC39" s="521" t="s">
        <v>1364</v>
      </c>
      <c r="SD39" s="522" t="s">
        <v>1332</v>
      </c>
      <c r="SL39" s="520" t="s">
        <v>1232</v>
      </c>
      <c r="SM39" s="1207" t="s">
        <v>1219</v>
      </c>
      <c r="SN39" s="1207"/>
      <c r="SO39" s="1207"/>
      <c r="SP39" s="1208"/>
      <c r="SQ39" s="521" t="s">
        <v>1364</v>
      </c>
      <c r="SR39" s="522" t="s">
        <v>1332</v>
      </c>
      <c r="SZ39" s="520" t="s">
        <v>1232</v>
      </c>
      <c r="TA39" s="1207" t="s">
        <v>1219</v>
      </c>
      <c r="TB39" s="1207"/>
      <c r="TC39" s="1207"/>
      <c r="TD39" s="1208"/>
      <c r="TE39" s="521" t="s">
        <v>1364</v>
      </c>
      <c r="TF39" s="522" t="s">
        <v>1332</v>
      </c>
    </row>
    <row r="40" spans="1:531" ht="18.75" customHeight="1" thickBot="1">
      <c r="B40" s="890" t="s">
        <v>2362</v>
      </c>
      <c r="C40" s="904" t="s">
        <v>1365</v>
      </c>
      <c r="D40" s="517"/>
      <c r="E40" s="146"/>
      <c r="F40" s="134"/>
      <c r="G40" s="922">
        <f>+'Res de Costos Pais'!$G$117</f>
        <v>6.8500000000000005E-2</v>
      </c>
      <c r="H40" s="523">
        <f>+H37*G40</f>
        <v>184117596.98518264</v>
      </c>
      <c r="M40" s="934">
        <f>+H40/H65</f>
        <v>6.3071936624501224E-2</v>
      </c>
      <c r="P40" s="890" t="s">
        <v>2362</v>
      </c>
      <c r="Q40" s="904" t="s">
        <v>1365</v>
      </c>
      <c r="R40" s="517"/>
      <c r="S40" s="146"/>
      <c r="T40" s="134"/>
      <c r="U40" s="922">
        <f>+'Res de Costos Pais'!$G$117</f>
        <v>6.8500000000000005E-2</v>
      </c>
      <c r="V40" s="523">
        <f t="shared" ref="V40" si="1008">+V37*U40</f>
        <v>43290646.212720238</v>
      </c>
      <c r="AA40" s="934">
        <f t="shared" ref="AA40" si="1009">+V40/V65</f>
        <v>6.3071936624501224E-2</v>
      </c>
      <c r="AD40" s="890" t="s">
        <v>2362</v>
      </c>
      <c r="AE40" s="904" t="s">
        <v>1365</v>
      </c>
      <c r="AF40" s="517"/>
      <c r="AG40" s="146"/>
      <c r="AH40" s="134"/>
      <c r="AI40" s="922">
        <f>+'Res de Costos Pais'!$G$117</f>
        <v>6.8500000000000005E-2</v>
      </c>
      <c r="AJ40" s="523">
        <f t="shared" ref="AJ40" si="1010">+AJ37*AI40</f>
        <v>227408243.19790286</v>
      </c>
      <c r="AO40" s="934">
        <f t="shared" ref="AO40" si="1011">+AJ40/AJ65</f>
        <v>6.3071936624501238E-2</v>
      </c>
      <c r="AR40" s="890" t="s">
        <v>2362</v>
      </c>
      <c r="AS40" s="904" t="s">
        <v>1365</v>
      </c>
      <c r="AT40" s="517"/>
      <c r="AU40" s="146"/>
      <c r="AV40" s="134"/>
      <c r="AW40" s="922">
        <f>+'Res de Costos Pais'!$G$117</f>
        <v>6.8500000000000005E-2</v>
      </c>
      <c r="AX40" s="523">
        <f t="shared" ref="AX40" si="1012">+AX37*AW40</f>
        <v>65657598.577790186</v>
      </c>
      <c r="BC40" s="934">
        <f t="shared" ref="BC40" si="1013">+AX40/AX65</f>
        <v>6.3071936624501238E-2</v>
      </c>
      <c r="BF40" s="890" t="s">
        <v>2362</v>
      </c>
      <c r="BG40" s="904" t="s">
        <v>1365</v>
      </c>
      <c r="BH40" s="517"/>
      <c r="BI40" s="146"/>
      <c r="BJ40" s="134"/>
      <c r="BK40" s="922">
        <f>+'Res de Costos Pais'!$G$117</f>
        <v>6.8500000000000005E-2</v>
      </c>
      <c r="BL40" s="523">
        <f t="shared" ref="BL40" si="1014">+BL37*BK40</f>
        <v>94193947.676577464</v>
      </c>
      <c r="BQ40" s="934">
        <f t="shared" ref="BQ40" si="1015">+BL40/BL65</f>
        <v>6.3071936624501224E-2</v>
      </c>
      <c r="BT40" s="890" t="s">
        <v>2362</v>
      </c>
      <c r="BU40" s="904" t="s">
        <v>1365</v>
      </c>
      <c r="BV40" s="517"/>
      <c r="BW40" s="146"/>
      <c r="BX40" s="134"/>
      <c r="BY40" s="922">
        <f>+'Res de Costos Pais'!$G$117</f>
        <v>6.8500000000000005E-2</v>
      </c>
      <c r="BZ40" s="523">
        <f t="shared" ref="BZ40" si="1016">+BZ37*BY40</f>
        <v>80584621.32236442</v>
      </c>
      <c r="CE40" s="934">
        <f t="shared" ref="CE40" si="1017">+BZ40/BZ65</f>
        <v>6.3071936624501224E-2</v>
      </c>
      <c r="CH40" s="890" t="s">
        <v>2362</v>
      </c>
      <c r="CI40" s="904" t="s">
        <v>1365</v>
      </c>
      <c r="CJ40" s="517"/>
      <c r="CK40" s="146"/>
      <c r="CL40" s="134"/>
      <c r="CM40" s="922">
        <f>+'Res de Costos Pais'!$G$117</f>
        <v>6.8500000000000005E-2</v>
      </c>
      <c r="CN40" s="523">
        <f t="shared" ref="CN40" si="1018">+CN37*CM40</f>
        <v>80550963.158609539</v>
      </c>
      <c r="CS40" s="934">
        <f t="shared" ref="CS40" si="1019">+CN40/CN65</f>
        <v>6.3071936624501224E-2</v>
      </c>
      <c r="CV40" s="890" t="s">
        <v>2362</v>
      </c>
      <c r="CW40" s="904" t="s">
        <v>1365</v>
      </c>
      <c r="CX40" s="517"/>
      <c r="CY40" s="146"/>
      <c r="CZ40" s="134"/>
      <c r="DA40" s="922">
        <f>+'Res de Costos Pais'!$G$117</f>
        <v>6.8500000000000005E-2</v>
      </c>
      <c r="DB40" s="523">
        <f t="shared" ref="DB40" si="1020">+DB37*DA40</f>
        <v>44182191.958652705</v>
      </c>
      <c r="DG40" s="934">
        <f t="shared" ref="DG40" si="1021">+DB40/DB65</f>
        <v>6.3071936624501238E-2</v>
      </c>
      <c r="DJ40" s="890" t="s">
        <v>2362</v>
      </c>
      <c r="DK40" s="904" t="s">
        <v>1365</v>
      </c>
      <c r="DL40" s="517"/>
      <c r="DM40" s="146"/>
      <c r="DN40" s="134"/>
      <c r="DO40" s="922">
        <f>+'Res de Costos Pais'!$G$117</f>
        <v>6.8500000000000005E-2</v>
      </c>
      <c r="DP40" s="523">
        <f t="shared" ref="DP40" si="1022">+DP37*DO40</f>
        <v>89821931.823121831</v>
      </c>
      <c r="DU40" s="934">
        <f t="shared" ref="DU40" si="1023">+DP40/DP65</f>
        <v>6.3071936624501238E-2</v>
      </c>
      <c r="DX40" s="890" t="s">
        <v>2362</v>
      </c>
      <c r="DY40" s="904" t="s">
        <v>1365</v>
      </c>
      <c r="DZ40" s="517"/>
      <c r="EA40" s="146"/>
      <c r="EB40" s="134"/>
      <c r="EC40" s="922">
        <f>+'Res de Costos Pais'!$G$117</f>
        <v>6.8500000000000005E-2</v>
      </c>
      <c r="ED40" s="523">
        <f t="shared" ref="ED40" si="1024">+ED37*EC40</f>
        <v>64516144.613838702</v>
      </c>
      <c r="EI40" s="934">
        <f t="shared" ref="EI40" si="1025">+ED40/ED65</f>
        <v>6.3071936624501238E-2</v>
      </c>
      <c r="EL40" s="890" t="s">
        <v>2362</v>
      </c>
      <c r="EM40" s="904" t="s">
        <v>1365</v>
      </c>
      <c r="EN40" s="517"/>
      <c r="EO40" s="146"/>
      <c r="EP40" s="134"/>
      <c r="EQ40" s="922">
        <f>+'Res de Costos Pais'!$G$117</f>
        <v>6.8500000000000005E-2</v>
      </c>
      <c r="ER40" s="523">
        <f t="shared" ref="ER40" si="1026">+ER37*EQ40</f>
        <v>91911039.748674467</v>
      </c>
      <c r="EW40" s="934">
        <f t="shared" ref="EW40" si="1027">+ER40/ER65</f>
        <v>6.3071936624501238E-2</v>
      </c>
      <c r="EZ40" s="890" t="s">
        <v>2362</v>
      </c>
      <c r="FA40" s="904" t="s">
        <v>1365</v>
      </c>
      <c r="FB40" s="517"/>
      <c r="FC40" s="146"/>
      <c r="FD40" s="134"/>
      <c r="FE40" s="922">
        <f>+'Res de Costos Pais'!$G$117</f>
        <v>6.8500000000000005E-2</v>
      </c>
      <c r="FF40" s="523">
        <f t="shared" ref="FF40" si="1028">+FF37*FE40</f>
        <v>98869541.143528625</v>
      </c>
      <c r="FK40" s="934">
        <f t="shared" ref="FK40" si="1029">+FF40/FF65</f>
        <v>6.3071936624501238E-2</v>
      </c>
      <c r="FN40" s="890" t="s">
        <v>2362</v>
      </c>
      <c r="FO40" s="904" t="s">
        <v>1365</v>
      </c>
      <c r="FP40" s="517"/>
      <c r="FQ40" s="146"/>
      <c r="FR40" s="134"/>
      <c r="FS40" s="922">
        <f>+'Res de Costos Pais'!$G$117</f>
        <v>6.8500000000000005E-2</v>
      </c>
      <c r="FT40" s="523">
        <f t="shared" ref="FT40" si="1030">+FT37*FS40</f>
        <v>71935595.379523396</v>
      </c>
      <c r="FY40" s="934">
        <f t="shared" ref="FY40" si="1031">+FT40/FT65</f>
        <v>6.3071936624501224E-2</v>
      </c>
      <c r="GB40" s="890" t="s">
        <v>2362</v>
      </c>
      <c r="GC40" s="904" t="s">
        <v>1365</v>
      </c>
      <c r="GD40" s="517"/>
      <c r="GE40" s="146"/>
      <c r="GF40" s="134"/>
      <c r="GG40" s="922">
        <f>+'Res de Costos Pais'!$G$117</f>
        <v>6.8500000000000005E-2</v>
      </c>
      <c r="GH40" s="523">
        <f t="shared" ref="GH40" si="1032">+GH37*GG40</f>
        <v>55615252.079635113</v>
      </c>
      <c r="GM40" s="934">
        <f t="shared" ref="GM40" si="1033">+GH40/GH65</f>
        <v>6.3071936624501238E-2</v>
      </c>
      <c r="GP40" s="890" t="s">
        <v>2362</v>
      </c>
      <c r="GQ40" s="904" t="s">
        <v>1365</v>
      </c>
      <c r="GR40" s="517"/>
      <c r="GS40" s="146"/>
      <c r="GT40" s="134"/>
      <c r="GU40" s="922">
        <f>+'Res de Costos Pais'!$G$117</f>
        <v>6.8500000000000005E-2</v>
      </c>
      <c r="GV40" s="523">
        <f t="shared" ref="GV40" si="1034">+GV37*GU40</f>
        <v>34787164.834439546</v>
      </c>
      <c r="HA40" s="934">
        <f t="shared" ref="HA40" si="1035">+GV40/GV65</f>
        <v>6.3071936624501238E-2</v>
      </c>
      <c r="HD40" s="890" t="s">
        <v>2362</v>
      </c>
      <c r="HE40" s="904" t="s">
        <v>1365</v>
      </c>
      <c r="HF40" s="517"/>
      <c r="HG40" s="146"/>
      <c r="HH40" s="134"/>
      <c r="HI40" s="922">
        <f>+'Res de Costos Pais'!$G$117</f>
        <v>6.8500000000000005E-2</v>
      </c>
      <c r="HJ40" s="523">
        <f t="shared" ref="HJ40" si="1036">+HJ37*HI40</f>
        <v>111749801.2849765</v>
      </c>
      <c r="HO40" s="934">
        <f t="shared" ref="HO40" si="1037">+HJ40/HJ65</f>
        <v>6.3071936624501238E-2</v>
      </c>
      <c r="HR40" s="890" t="s">
        <v>2362</v>
      </c>
      <c r="HS40" s="904" t="s">
        <v>1365</v>
      </c>
      <c r="HT40" s="517"/>
      <c r="HU40" s="146"/>
      <c r="HV40" s="134"/>
      <c r="HW40" s="922">
        <f>+'Res de Costos Pais'!$G$117</f>
        <v>6.8500000000000005E-2</v>
      </c>
      <c r="HX40" s="523">
        <f t="shared" ref="HX40" si="1038">+HX37*HW40</f>
        <v>39251980.536019705</v>
      </c>
      <c r="IC40" s="934">
        <f t="shared" ref="IC40" si="1039">+HX40/HX65</f>
        <v>6.3071936624501251E-2</v>
      </c>
      <c r="IF40" s="890" t="s">
        <v>2362</v>
      </c>
      <c r="IG40" s="904" t="s">
        <v>1365</v>
      </c>
      <c r="IH40" s="517"/>
      <c r="II40" s="146"/>
      <c r="IJ40" s="134"/>
      <c r="IK40" s="922">
        <f>+'Res de Costos Pais'!$G$117</f>
        <v>6.8500000000000005E-2</v>
      </c>
      <c r="IL40" s="523">
        <f t="shared" ref="IL40" si="1040">+IL37*IK40</f>
        <v>26402204.964523125</v>
      </c>
      <c r="IQ40" s="934">
        <f t="shared" ref="IQ40" si="1041">+IL40/IL65</f>
        <v>6.3071936624501238E-2</v>
      </c>
      <c r="IT40" s="890" t="s">
        <v>2362</v>
      </c>
      <c r="IU40" s="904" t="s">
        <v>1365</v>
      </c>
      <c r="IV40" s="517"/>
      <c r="IW40" s="146"/>
      <c r="IX40" s="134"/>
      <c r="IY40" s="922">
        <f>+'Res de Costos Pais'!$G$117</f>
        <v>6.8500000000000005E-2</v>
      </c>
      <c r="IZ40" s="523">
        <f t="shared" ref="IZ40" si="1042">+IZ37*IY40</f>
        <v>164179890.96304163</v>
      </c>
      <c r="JE40" s="934">
        <f t="shared" ref="JE40" si="1043">+IZ40/IZ65</f>
        <v>6.3071936624501224E-2</v>
      </c>
      <c r="JH40" s="890" t="s">
        <v>2362</v>
      </c>
      <c r="JI40" s="904" t="s">
        <v>1365</v>
      </c>
      <c r="JJ40" s="517"/>
      <c r="JK40" s="146"/>
      <c r="JL40" s="134"/>
      <c r="JM40" s="922">
        <f>+'Res de Costos Pais'!$G$117</f>
        <v>6.8500000000000005E-2</v>
      </c>
      <c r="JN40" s="523">
        <f t="shared" ref="JN40" si="1044">+JN37*JM40</f>
        <v>190582095.92756477</v>
      </c>
      <c r="JS40" s="934">
        <f t="shared" ref="JS40" si="1045">+JN40/JN65</f>
        <v>6.3071936624501238E-2</v>
      </c>
      <c r="JV40" s="890" t="s">
        <v>2362</v>
      </c>
      <c r="JW40" s="904" t="s">
        <v>1365</v>
      </c>
      <c r="JX40" s="517"/>
      <c r="JY40" s="146"/>
      <c r="JZ40" s="134"/>
      <c r="KA40" s="922">
        <f>+'Res de Costos Pais'!$G$117</f>
        <v>6.8500000000000005E-2</v>
      </c>
      <c r="KB40" s="523">
        <f t="shared" ref="KB40" si="1046">+KB37*KA40</f>
        <v>55316056.913083777</v>
      </c>
      <c r="KG40" s="934">
        <f t="shared" ref="KG40" si="1047">+KB40/KB65</f>
        <v>6.3071936624501238E-2</v>
      </c>
      <c r="KJ40" s="890" t="s">
        <v>2362</v>
      </c>
      <c r="KK40" s="904" t="s">
        <v>1365</v>
      </c>
      <c r="KL40" s="517"/>
      <c r="KM40" s="146"/>
      <c r="KN40" s="134"/>
      <c r="KO40" s="922">
        <f>+'Res de Costos Pais'!$G$117</f>
        <v>6.8500000000000005E-2</v>
      </c>
      <c r="KP40" s="523">
        <f t="shared" ref="KP40" si="1048">+KP37*KO40</f>
        <v>33262843.438021775</v>
      </c>
      <c r="KU40" s="934">
        <f t="shared" ref="KU40" si="1049">+KP40/KP65</f>
        <v>6.3071936624501238E-2</v>
      </c>
      <c r="KX40" s="890" t="s">
        <v>2362</v>
      </c>
      <c r="KY40" s="904" t="s">
        <v>1365</v>
      </c>
      <c r="KZ40" s="517"/>
      <c r="LA40" s="146"/>
      <c r="LB40" s="134"/>
      <c r="LC40" s="922">
        <f>+'Res de Costos Pais'!$G$117</f>
        <v>6.8500000000000005E-2</v>
      </c>
      <c r="LD40" s="523">
        <f t="shared" ref="LD40" si="1050">+LD37*LC40</f>
        <v>27058381.950431149</v>
      </c>
      <c r="LI40" s="934">
        <f t="shared" ref="LI40" si="1051">+LD40/LD65</f>
        <v>6.3071936624501238E-2</v>
      </c>
      <c r="LL40" s="890" t="s">
        <v>2362</v>
      </c>
      <c r="LM40" s="904" t="s">
        <v>1365</v>
      </c>
      <c r="LN40" s="517"/>
      <c r="LO40" s="146"/>
      <c r="LP40" s="134"/>
      <c r="LQ40" s="922">
        <f>+'Res de Costos Pais'!$G$117</f>
        <v>6.8500000000000005E-2</v>
      </c>
      <c r="LR40" s="523">
        <f t="shared" ref="LR40" si="1052">+LR37*LQ40</f>
        <v>70794141.415571898</v>
      </c>
      <c r="LW40" s="934">
        <f t="shared" ref="LW40" si="1053">+LR40/LR65</f>
        <v>6.3071936624501238E-2</v>
      </c>
      <c r="LZ40" s="890" t="s">
        <v>2362</v>
      </c>
      <c r="MA40" s="904" t="s">
        <v>1365</v>
      </c>
      <c r="MB40" s="517"/>
      <c r="MC40" s="146"/>
      <c r="MD40" s="134"/>
      <c r="ME40" s="922">
        <f>+'Res de Costos Pais'!$G$117</f>
        <v>6.8500000000000005E-2</v>
      </c>
      <c r="MF40" s="523">
        <f t="shared" ref="MF40" si="1054">+MF37*ME40</f>
        <v>70223414.433596149</v>
      </c>
      <c r="MK40" s="934">
        <f t="shared" ref="MK40" si="1055">+MF40/MF65</f>
        <v>6.3071936624501224E-2</v>
      </c>
      <c r="MN40" s="890" t="s">
        <v>2362</v>
      </c>
      <c r="MO40" s="904" t="s">
        <v>1365</v>
      </c>
      <c r="MP40" s="517"/>
      <c r="MQ40" s="146"/>
      <c r="MR40" s="134"/>
      <c r="MS40" s="922">
        <f>+'Res de Costos Pais'!$G$117</f>
        <v>6.8500000000000005E-2</v>
      </c>
      <c r="MT40" s="523">
        <f t="shared" ref="MT40" si="1056">+MT37*MS40</f>
        <v>71857682.110125825</v>
      </c>
      <c r="MY40" s="934">
        <f t="shared" ref="MY40" si="1057">+MT40/MT65</f>
        <v>6.3071936624501238E-2</v>
      </c>
      <c r="NB40" s="890" t="s">
        <v>2362</v>
      </c>
      <c r="NC40" s="904" t="s">
        <v>1365</v>
      </c>
      <c r="ND40" s="517"/>
      <c r="NE40" s="146"/>
      <c r="NF40" s="134"/>
      <c r="NG40" s="922">
        <f>+'Res de Costos Pais'!$G$117</f>
        <v>6.8500000000000005E-2</v>
      </c>
      <c r="NH40" s="523">
        <f t="shared" ref="NH40" si="1058">+NH37*NG40</f>
        <v>137521206.12820268</v>
      </c>
      <c r="NM40" s="934">
        <f t="shared" ref="NM40" si="1059">+NH40/NH65</f>
        <v>6.3071936624501238E-2</v>
      </c>
      <c r="NP40" s="890" t="s">
        <v>2362</v>
      </c>
      <c r="NQ40" s="904" t="s">
        <v>1365</v>
      </c>
      <c r="NR40" s="517"/>
      <c r="NS40" s="146"/>
      <c r="NT40" s="134"/>
      <c r="NU40" s="922">
        <f>+'Res de Costos Pais'!$G$117</f>
        <v>6.8500000000000005E-2</v>
      </c>
      <c r="NV40" s="523">
        <f t="shared" ref="NV40" si="1060">+NV37*NU40</f>
        <v>21891781.651439559</v>
      </c>
      <c r="OA40" s="934">
        <f t="shared" ref="OA40" si="1061">+NV40/NV65</f>
        <v>6.3071936624501238E-2</v>
      </c>
      <c r="OD40" s="890" t="s">
        <v>2362</v>
      </c>
      <c r="OE40" s="904" t="s">
        <v>1365</v>
      </c>
      <c r="OF40" s="517"/>
      <c r="OG40" s="146"/>
      <c r="OH40" s="134"/>
      <c r="OI40" s="922">
        <f>+'Res de Costos Pais'!$G$117</f>
        <v>6.8500000000000005E-2</v>
      </c>
      <c r="OJ40" s="523">
        <f t="shared" ref="OJ40" si="1062">+OJ37*OI40</f>
        <v>28531133.095216412</v>
      </c>
      <c r="OO40" s="934">
        <f t="shared" ref="OO40" si="1063">+OJ40/OJ65</f>
        <v>6.3071936624501238E-2</v>
      </c>
      <c r="OR40" s="890" t="s">
        <v>2362</v>
      </c>
      <c r="OS40" s="904" t="s">
        <v>1365</v>
      </c>
      <c r="OT40" s="517"/>
      <c r="OU40" s="146"/>
      <c r="OV40" s="134"/>
      <c r="OW40" s="922">
        <f>+'Res de Costos Pais'!$G$117</f>
        <v>6.8500000000000005E-2</v>
      </c>
      <c r="OX40" s="523">
        <f t="shared" ref="OX40" si="1064">+OX37*OW40</f>
        <v>36045822.238706291</v>
      </c>
      <c r="PC40" s="934">
        <f t="shared" ref="PC40" si="1065">+OX40/OX65</f>
        <v>6.3071936624501238E-2</v>
      </c>
      <c r="PF40" s="890" t="s">
        <v>2362</v>
      </c>
      <c r="PG40" s="904" t="s">
        <v>1365</v>
      </c>
      <c r="PH40" s="517"/>
      <c r="PI40" s="146"/>
      <c r="PJ40" s="134"/>
      <c r="PK40" s="922">
        <f>+'Res de Costos Pais'!$G$117</f>
        <v>6.8500000000000005E-2</v>
      </c>
      <c r="PL40" s="523">
        <f t="shared" ref="PL40" si="1066">+PL37*PK40</f>
        <v>9166309.4397290088</v>
      </c>
      <c r="PQ40" s="934">
        <f t="shared" ref="PQ40" si="1067">+PL40/PL65</f>
        <v>6.3071936624501224E-2</v>
      </c>
      <c r="PT40" s="890" t="s">
        <v>2362</v>
      </c>
      <c r="PU40" s="904" t="s">
        <v>1365</v>
      </c>
      <c r="PV40" s="517"/>
      <c r="PW40" s="146"/>
      <c r="PX40" s="134"/>
      <c r="PY40" s="922">
        <f>+'Res de Costos Pais'!$G$117</f>
        <v>6.8500000000000005E-2</v>
      </c>
      <c r="PZ40" s="523">
        <f t="shared" ref="PZ40" si="1068">+PZ37*PY40</f>
        <v>14145842.044311397</v>
      </c>
      <c r="QE40" s="934">
        <f t="shared" ref="QE40" si="1069">+PZ40/PZ65</f>
        <v>6.3071936624501238E-2</v>
      </c>
      <c r="QH40" s="890" t="s">
        <v>2362</v>
      </c>
      <c r="QI40" s="904" t="s">
        <v>1365</v>
      </c>
      <c r="QJ40" s="517"/>
      <c r="QK40" s="146"/>
      <c r="QL40" s="134"/>
      <c r="QM40" s="922">
        <f>+'Res de Costos Pais'!$G$117</f>
        <v>6.8500000000000005E-2</v>
      </c>
      <c r="QN40" s="523">
        <f t="shared" ref="QN40" si="1070">+QN37*QM40</f>
        <v>5293339.6361649297</v>
      </c>
      <c r="QS40" s="934">
        <f t="shared" ref="QS40" si="1071">+QN40/QN65</f>
        <v>6.3071936624501238E-2</v>
      </c>
      <c r="QV40" s="890" t="s">
        <v>2362</v>
      </c>
      <c r="QW40" s="904" t="s">
        <v>1365</v>
      </c>
      <c r="QX40" s="517"/>
      <c r="QY40" s="146"/>
      <c r="QZ40" s="134"/>
      <c r="RA40" s="922">
        <f>+'Res de Costos Pais'!$G$117</f>
        <v>6.8500000000000005E-2</v>
      </c>
      <c r="RB40" s="523">
        <f t="shared" ref="RB40" si="1072">+RB37*RA40</f>
        <v>11932716.442274781</v>
      </c>
      <c r="RG40" s="934">
        <f t="shared" ref="RG40" si="1073">+RB40/RB65</f>
        <v>6.3071936624501251E-2</v>
      </c>
      <c r="RJ40" s="890" t="s">
        <v>2362</v>
      </c>
      <c r="RK40" s="904" t="s">
        <v>1365</v>
      </c>
      <c r="RL40" s="517"/>
      <c r="RM40" s="146"/>
      <c r="RN40" s="134"/>
      <c r="RO40" s="922">
        <f>+'Res de Costos Pais'!$G$117</f>
        <v>6.8500000000000005E-2</v>
      </c>
      <c r="RP40" s="523">
        <f t="shared" ref="RP40" si="1074">+RP37*RO40</f>
        <v>5307560.5168877272</v>
      </c>
      <c r="RU40" s="934">
        <f t="shared" ref="RU40" si="1075">+RP40/RP65</f>
        <v>6.3071936624501238E-2</v>
      </c>
      <c r="RX40" s="890" t="s">
        <v>2362</v>
      </c>
      <c r="RY40" s="904" t="s">
        <v>1365</v>
      </c>
      <c r="RZ40" s="517"/>
      <c r="SA40" s="146"/>
      <c r="SB40" s="134"/>
      <c r="SC40" s="922">
        <f>+'Res de Costos Pais'!$G$117</f>
        <v>6.8500000000000005E-2</v>
      </c>
      <c r="SD40" s="523">
        <f t="shared" ref="SD40" si="1076">+SD37*SC40</f>
        <v>8059746.6387107009</v>
      </c>
      <c r="SI40" s="934">
        <f t="shared" ref="SI40" si="1077">+SD40/SD65</f>
        <v>6.3071936624501238E-2</v>
      </c>
      <c r="SL40" s="890" t="s">
        <v>2362</v>
      </c>
      <c r="SM40" s="904" t="s">
        <v>1365</v>
      </c>
      <c r="SN40" s="517"/>
      <c r="SO40" s="146"/>
      <c r="SP40" s="134"/>
      <c r="SQ40" s="922">
        <f>+'Res de Costos Pais'!$G$117</f>
        <v>6.8500000000000005E-2</v>
      </c>
      <c r="SR40" s="523">
        <f t="shared" ref="SR40" si="1078">+SR37*SQ40</f>
        <v>0</v>
      </c>
      <c r="SW40" s="934">
        <f>IF(ISERROR((+SR40/SR65)),0,(+SR40/SR65))</f>
        <v>0</v>
      </c>
      <c r="SZ40" s="890" t="s">
        <v>2362</v>
      </c>
      <c r="TA40" s="904" t="s">
        <v>1365</v>
      </c>
      <c r="TB40" s="517"/>
      <c r="TC40" s="146"/>
      <c r="TD40" s="134"/>
      <c r="TE40" s="922">
        <f>+'Res de Costos Pais'!$G$117</f>
        <v>6.8500000000000005E-2</v>
      </c>
      <c r="TF40" s="523">
        <f t="shared" ref="TF40" si="1079">+TF37*TE40</f>
        <v>2048026091.3556938</v>
      </c>
      <c r="TK40" s="934">
        <f t="shared" ref="TK40" si="1080">+TF40/TF65</f>
        <v>6.3071936624501238E-2</v>
      </c>
    </row>
    <row r="41" spans="1:531" ht="18" customHeight="1" thickBot="1">
      <c r="B41" s="949" t="s">
        <v>2361</v>
      </c>
      <c r="C41" s="129"/>
      <c r="D41" s="129"/>
      <c r="E41" s="129"/>
      <c r="F41" s="129"/>
      <c r="G41" s="129"/>
      <c r="H41" s="434">
        <f>+H40</f>
        <v>184117596.98518264</v>
      </c>
      <c r="I41" s="131"/>
      <c r="P41" s="949" t="s">
        <v>2361</v>
      </c>
      <c r="Q41" s="129"/>
      <c r="R41" s="129"/>
      <c r="S41" s="129"/>
      <c r="T41" s="129"/>
      <c r="U41" s="129"/>
      <c r="V41" s="434">
        <f t="shared" ref="V41" si="1081">+V40</f>
        <v>43290646.212720238</v>
      </c>
      <c r="W41" s="131"/>
      <c r="AD41" s="949" t="s">
        <v>2361</v>
      </c>
      <c r="AE41" s="129"/>
      <c r="AF41" s="129"/>
      <c r="AG41" s="129"/>
      <c r="AH41" s="129"/>
      <c r="AI41" s="129"/>
      <c r="AJ41" s="434">
        <f t="shared" ref="AJ41" si="1082">+AJ40</f>
        <v>227408243.19790286</v>
      </c>
      <c r="AK41" s="131"/>
      <c r="AR41" s="949" t="s">
        <v>2361</v>
      </c>
      <c r="AS41" s="129"/>
      <c r="AT41" s="129"/>
      <c r="AU41" s="129"/>
      <c r="AV41" s="129"/>
      <c r="AW41" s="129"/>
      <c r="AX41" s="434">
        <f t="shared" ref="AX41" si="1083">+AX40</f>
        <v>65657598.577790186</v>
      </c>
      <c r="AY41" s="131"/>
      <c r="BF41" s="949" t="s">
        <v>2361</v>
      </c>
      <c r="BG41" s="129"/>
      <c r="BH41" s="129"/>
      <c r="BI41" s="129"/>
      <c r="BJ41" s="129"/>
      <c r="BK41" s="129"/>
      <c r="BL41" s="434">
        <f t="shared" ref="BL41" si="1084">+BL40</f>
        <v>94193947.676577464</v>
      </c>
      <c r="BM41" s="131"/>
      <c r="BT41" s="949" t="s">
        <v>2361</v>
      </c>
      <c r="BU41" s="129"/>
      <c r="BV41" s="129"/>
      <c r="BW41" s="129"/>
      <c r="BX41" s="129"/>
      <c r="BY41" s="129"/>
      <c r="BZ41" s="434">
        <f t="shared" ref="BZ41:ED41" si="1085">+BZ40</f>
        <v>80584621.32236442</v>
      </c>
      <c r="CA41" s="131"/>
      <c r="CH41" s="949" t="s">
        <v>2361</v>
      </c>
      <c r="CI41" s="129"/>
      <c r="CJ41" s="129"/>
      <c r="CK41" s="129"/>
      <c r="CL41" s="129"/>
      <c r="CM41" s="129"/>
      <c r="CN41" s="434">
        <f t="shared" si="1085"/>
        <v>80550963.158609539</v>
      </c>
      <c r="CO41" s="131"/>
      <c r="CV41" s="949" t="s">
        <v>2361</v>
      </c>
      <c r="CW41" s="129"/>
      <c r="CX41" s="129"/>
      <c r="CY41" s="129"/>
      <c r="CZ41" s="129"/>
      <c r="DA41" s="129"/>
      <c r="DB41" s="434">
        <f t="shared" si="1085"/>
        <v>44182191.958652705</v>
      </c>
      <c r="DC41" s="131"/>
      <c r="DJ41" s="949" t="s">
        <v>2361</v>
      </c>
      <c r="DK41" s="129"/>
      <c r="DL41" s="129"/>
      <c r="DM41" s="129"/>
      <c r="DN41" s="129"/>
      <c r="DO41" s="129"/>
      <c r="DP41" s="434">
        <f t="shared" si="1085"/>
        <v>89821931.823121831</v>
      </c>
      <c r="DQ41" s="131"/>
      <c r="DX41" s="949" t="s">
        <v>2361</v>
      </c>
      <c r="DY41" s="129"/>
      <c r="DZ41" s="129"/>
      <c r="EA41" s="129"/>
      <c r="EB41" s="129"/>
      <c r="EC41" s="129"/>
      <c r="ED41" s="434">
        <f t="shared" si="1085"/>
        <v>64516144.613838702</v>
      </c>
      <c r="EE41" s="131"/>
      <c r="EL41" s="949" t="s">
        <v>2361</v>
      </c>
      <c r="EM41" s="129"/>
      <c r="EN41" s="129"/>
      <c r="EO41" s="129"/>
      <c r="EP41" s="129"/>
      <c r="EQ41" s="129"/>
      <c r="ER41" s="434">
        <f t="shared" ref="ER41:GV41" si="1086">+ER40</f>
        <v>91911039.748674467</v>
      </c>
      <c r="ES41" s="131"/>
      <c r="EZ41" s="949" t="s">
        <v>2361</v>
      </c>
      <c r="FA41" s="129"/>
      <c r="FB41" s="129"/>
      <c r="FC41" s="129"/>
      <c r="FD41" s="129"/>
      <c r="FE41" s="129"/>
      <c r="FF41" s="434">
        <f t="shared" si="1086"/>
        <v>98869541.143528625</v>
      </c>
      <c r="FG41" s="131"/>
      <c r="FN41" s="949" t="s">
        <v>2361</v>
      </c>
      <c r="FO41" s="129"/>
      <c r="FP41" s="129"/>
      <c r="FQ41" s="129"/>
      <c r="FR41" s="129"/>
      <c r="FS41" s="129"/>
      <c r="FT41" s="434">
        <f t="shared" si="1086"/>
        <v>71935595.379523396</v>
      </c>
      <c r="FU41" s="131"/>
      <c r="GB41" s="949" t="s">
        <v>2361</v>
      </c>
      <c r="GC41" s="129"/>
      <c r="GD41" s="129"/>
      <c r="GE41" s="129"/>
      <c r="GF41" s="129"/>
      <c r="GG41" s="129"/>
      <c r="GH41" s="434">
        <f t="shared" si="1086"/>
        <v>55615252.079635113</v>
      </c>
      <c r="GI41" s="131"/>
      <c r="GP41" s="949" t="s">
        <v>2361</v>
      </c>
      <c r="GQ41" s="129"/>
      <c r="GR41" s="129"/>
      <c r="GS41" s="129"/>
      <c r="GT41" s="129"/>
      <c r="GU41" s="129"/>
      <c r="GV41" s="434">
        <f t="shared" si="1086"/>
        <v>34787164.834439546</v>
      </c>
      <c r="GW41" s="131"/>
      <c r="HD41" s="949" t="s">
        <v>2361</v>
      </c>
      <c r="HE41" s="129"/>
      <c r="HF41" s="129"/>
      <c r="HG41" s="129"/>
      <c r="HH41" s="129"/>
      <c r="HI41" s="129"/>
      <c r="HJ41" s="434">
        <f t="shared" ref="HJ41:KB41" si="1087">+HJ40</f>
        <v>111749801.2849765</v>
      </c>
      <c r="HK41" s="131"/>
      <c r="HR41" s="949" t="s">
        <v>2361</v>
      </c>
      <c r="HS41" s="129"/>
      <c r="HT41" s="129"/>
      <c r="HU41" s="129"/>
      <c r="HV41" s="129"/>
      <c r="HW41" s="129"/>
      <c r="HX41" s="434">
        <f t="shared" si="1087"/>
        <v>39251980.536019705</v>
      </c>
      <c r="HY41" s="131"/>
      <c r="IF41" s="949" t="s">
        <v>2361</v>
      </c>
      <c r="IG41" s="129"/>
      <c r="IH41" s="129"/>
      <c r="II41" s="129"/>
      <c r="IJ41" s="129"/>
      <c r="IK41" s="129"/>
      <c r="IL41" s="434">
        <f t="shared" si="1087"/>
        <v>26402204.964523125</v>
      </c>
      <c r="IM41" s="131"/>
      <c r="IT41" s="949" t="s">
        <v>2361</v>
      </c>
      <c r="IU41" s="129"/>
      <c r="IV41" s="129"/>
      <c r="IW41" s="129"/>
      <c r="IX41" s="129"/>
      <c r="IY41" s="129"/>
      <c r="IZ41" s="434">
        <f t="shared" si="1087"/>
        <v>164179890.96304163</v>
      </c>
      <c r="JA41" s="131"/>
      <c r="JH41" s="949" t="s">
        <v>2361</v>
      </c>
      <c r="JI41" s="129"/>
      <c r="JJ41" s="129"/>
      <c r="JK41" s="129"/>
      <c r="JL41" s="129"/>
      <c r="JM41" s="129"/>
      <c r="JN41" s="434">
        <f t="shared" ref="JN41" si="1088">+JN40</f>
        <v>190582095.92756477</v>
      </c>
      <c r="JO41" s="131"/>
      <c r="JV41" s="949" t="s">
        <v>2361</v>
      </c>
      <c r="JW41" s="129"/>
      <c r="JX41" s="129"/>
      <c r="JY41" s="129"/>
      <c r="JZ41" s="129"/>
      <c r="KA41" s="129"/>
      <c r="KB41" s="434">
        <f t="shared" si="1087"/>
        <v>55316056.913083777</v>
      </c>
      <c r="KC41" s="131"/>
      <c r="KJ41" s="949" t="s">
        <v>2361</v>
      </c>
      <c r="KK41" s="129"/>
      <c r="KL41" s="129"/>
      <c r="KM41" s="129"/>
      <c r="KN41" s="129"/>
      <c r="KO41" s="129"/>
      <c r="KP41" s="434">
        <f t="shared" ref="KP41:MT41" si="1089">+KP40</f>
        <v>33262843.438021775</v>
      </c>
      <c r="KQ41" s="131"/>
      <c r="KX41" s="949" t="s">
        <v>2361</v>
      </c>
      <c r="KY41" s="129"/>
      <c r="KZ41" s="129"/>
      <c r="LA41" s="129"/>
      <c r="LB41" s="129"/>
      <c r="LC41" s="129"/>
      <c r="LD41" s="434">
        <f t="shared" si="1089"/>
        <v>27058381.950431149</v>
      </c>
      <c r="LE41" s="131"/>
      <c r="LL41" s="949" t="s">
        <v>2361</v>
      </c>
      <c r="LM41" s="129"/>
      <c r="LN41" s="129"/>
      <c r="LO41" s="129"/>
      <c r="LP41" s="129"/>
      <c r="LQ41" s="129"/>
      <c r="LR41" s="434">
        <f t="shared" si="1089"/>
        <v>70794141.415571898</v>
      </c>
      <c r="LS41" s="131"/>
      <c r="LZ41" s="949" t="s">
        <v>2361</v>
      </c>
      <c r="MA41" s="129"/>
      <c r="MB41" s="129"/>
      <c r="MC41" s="129"/>
      <c r="MD41" s="129"/>
      <c r="ME41" s="129"/>
      <c r="MF41" s="434">
        <f t="shared" si="1089"/>
        <v>70223414.433596149</v>
      </c>
      <c r="MG41" s="131"/>
      <c r="MN41" s="949" t="s">
        <v>2361</v>
      </c>
      <c r="MO41" s="129"/>
      <c r="MP41" s="129"/>
      <c r="MQ41" s="129"/>
      <c r="MR41" s="129"/>
      <c r="MS41" s="129"/>
      <c r="MT41" s="434">
        <f t="shared" si="1089"/>
        <v>71857682.110125825</v>
      </c>
      <c r="MU41" s="131"/>
      <c r="NB41" s="949" t="s">
        <v>2361</v>
      </c>
      <c r="NC41" s="129"/>
      <c r="ND41" s="129"/>
      <c r="NE41" s="129"/>
      <c r="NF41" s="129"/>
      <c r="NG41" s="129"/>
      <c r="NH41" s="434">
        <f t="shared" ref="NH41:PL41" si="1090">+NH40</f>
        <v>137521206.12820268</v>
      </c>
      <c r="NI41" s="131"/>
      <c r="NP41" s="949" t="s">
        <v>2361</v>
      </c>
      <c r="NQ41" s="129"/>
      <c r="NR41" s="129"/>
      <c r="NS41" s="129"/>
      <c r="NT41" s="129"/>
      <c r="NU41" s="129"/>
      <c r="NV41" s="434">
        <f t="shared" si="1090"/>
        <v>21891781.651439559</v>
      </c>
      <c r="NW41" s="131"/>
      <c r="OD41" s="949" t="s">
        <v>2361</v>
      </c>
      <c r="OE41" s="129"/>
      <c r="OF41" s="129"/>
      <c r="OG41" s="129"/>
      <c r="OH41" s="129"/>
      <c r="OI41" s="129"/>
      <c r="OJ41" s="434">
        <f t="shared" si="1090"/>
        <v>28531133.095216412</v>
      </c>
      <c r="OK41" s="131"/>
      <c r="OR41" s="949" t="s">
        <v>2361</v>
      </c>
      <c r="OS41" s="129"/>
      <c r="OT41" s="129"/>
      <c r="OU41" s="129"/>
      <c r="OV41" s="129"/>
      <c r="OW41" s="129"/>
      <c r="OX41" s="434">
        <f t="shared" si="1090"/>
        <v>36045822.238706291</v>
      </c>
      <c r="OY41" s="131"/>
      <c r="PF41" s="949" t="s">
        <v>2361</v>
      </c>
      <c r="PG41" s="129"/>
      <c r="PH41" s="129"/>
      <c r="PI41" s="129"/>
      <c r="PJ41" s="129"/>
      <c r="PK41" s="129"/>
      <c r="PL41" s="434">
        <f t="shared" si="1090"/>
        <v>9166309.4397290088</v>
      </c>
      <c r="PM41" s="131"/>
      <c r="PT41" s="949" t="s">
        <v>2361</v>
      </c>
      <c r="PU41" s="129"/>
      <c r="PV41" s="129"/>
      <c r="PW41" s="129"/>
      <c r="PX41" s="129"/>
      <c r="PY41" s="129"/>
      <c r="PZ41" s="434">
        <f t="shared" ref="PZ41:SD41" si="1091">+PZ40</f>
        <v>14145842.044311397</v>
      </c>
      <c r="QA41" s="131"/>
      <c r="QH41" s="949" t="s">
        <v>2361</v>
      </c>
      <c r="QI41" s="129"/>
      <c r="QJ41" s="129"/>
      <c r="QK41" s="129"/>
      <c r="QL41" s="129"/>
      <c r="QM41" s="129"/>
      <c r="QN41" s="434">
        <f t="shared" si="1091"/>
        <v>5293339.6361649297</v>
      </c>
      <c r="QO41" s="131"/>
      <c r="QV41" s="949" t="s">
        <v>2361</v>
      </c>
      <c r="QW41" s="129"/>
      <c r="QX41" s="129"/>
      <c r="QY41" s="129"/>
      <c r="QZ41" s="129"/>
      <c r="RA41" s="129"/>
      <c r="RB41" s="434">
        <f t="shared" si="1091"/>
        <v>11932716.442274781</v>
      </c>
      <c r="RC41" s="131"/>
      <c r="RJ41" s="949" t="s">
        <v>2361</v>
      </c>
      <c r="RK41" s="129"/>
      <c r="RL41" s="129"/>
      <c r="RM41" s="129"/>
      <c r="RN41" s="129"/>
      <c r="RO41" s="129"/>
      <c r="RP41" s="434">
        <f t="shared" si="1091"/>
        <v>5307560.5168877272</v>
      </c>
      <c r="RQ41" s="131"/>
      <c r="RX41" s="949" t="s">
        <v>2361</v>
      </c>
      <c r="RY41" s="129"/>
      <c r="RZ41" s="129"/>
      <c r="SA41" s="129"/>
      <c r="SB41" s="129"/>
      <c r="SC41" s="129"/>
      <c r="SD41" s="434">
        <f t="shared" si="1091"/>
        <v>8059746.6387107009</v>
      </c>
      <c r="SE41" s="131"/>
      <c r="SL41" s="949" t="s">
        <v>2361</v>
      </c>
      <c r="SM41" s="129"/>
      <c r="SN41" s="129"/>
      <c r="SO41" s="129"/>
      <c r="SP41" s="129"/>
      <c r="SQ41" s="129"/>
      <c r="SR41" s="434">
        <f t="shared" ref="SR41" si="1092">+SR40</f>
        <v>0</v>
      </c>
      <c r="SS41" s="131"/>
      <c r="SZ41" s="949" t="s">
        <v>2361</v>
      </c>
      <c r="TA41" s="129"/>
      <c r="TB41" s="129"/>
      <c r="TC41" s="129"/>
      <c r="TD41" s="129"/>
      <c r="TE41" s="129"/>
      <c r="TF41" s="434">
        <f t="shared" ref="TF41" si="1093">+TF40</f>
        <v>2048026091.3556938</v>
      </c>
      <c r="TG41" s="131"/>
    </row>
    <row r="42" spans="1:531" ht="18.75" customHeight="1" thickBot="1"/>
    <row r="43" spans="1:531" ht="15.75" customHeight="1" thickBot="1">
      <c r="B43" s="1209" t="s">
        <v>2331</v>
      </c>
      <c r="C43" s="1210"/>
      <c r="D43" s="1210"/>
      <c r="E43" s="1210"/>
      <c r="F43" s="1210"/>
      <c r="G43" s="113"/>
      <c r="H43" s="464">
        <f>+H37+H41</f>
        <v>2871965728.1557322</v>
      </c>
      <c r="I43" s="135"/>
      <c r="P43" s="1209" t="s">
        <v>2331</v>
      </c>
      <c r="Q43" s="1210"/>
      <c r="R43" s="1210"/>
      <c r="S43" s="1210"/>
      <c r="T43" s="1210"/>
      <c r="U43" s="113"/>
      <c r="V43" s="464">
        <f t="shared" ref="V43" si="1094">+V37+V41</f>
        <v>675270882.89476752</v>
      </c>
      <c r="W43" s="135"/>
      <c r="AD43" s="1209" t="s">
        <v>2331</v>
      </c>
      <c r="AE43" s="1210"/>
      <c r="AF43" s="1210"/>
      <c r="AG43" s="1210"/>
      <c r="AH43" s="1210"/>
      <c r="AI43" s="113"/>
      <c r="AJ43" s="464">
        <f t="shared" ref="AJ43" si="1095">+AJ37+AJ41</f>
        <v>3547236611.050499</v>
      </c>
      <c r="AK43" s="135"/>
      <c r="AR43" s="1209" t="s">
        <v>2331</v>
      </c>
      <c r="AS43" s="1210"/>
      <c r="AT43" s="1210"/>
      <c r="AU43" s="1210"/>
      <c r="AV43" s="1210"/>
      <c r="AW43" s="113"/>
      <c r="AX43" s="464">
        <f t="shared" ref="AX43" si="1096">+AX37+AX41</f>
        <v>1024162687.3046541</v>
      </c>
      <c r="AY43" s="135"/>
      <c r="BF43" s="1209" t="s">
        <v>2331</v>
      </c>
      <c r="BG43" s="1210"/>
      <c r="BH43" s="1210"/>
      <c r="BI43" s="1210"/>
      <c r="BJ43" s="1210"/>
      <c r="BK43" s="113"/>
      <c r="BL43" s="464">
        <f t="shared" ref="BL43" si="1097">+BL37+BL41</f>
        <v>1469288074.3419418</v>
      </c>
      <c r="BM43" s="135"/>
      <c r="BT43" s="1209" t="s">
        <v>2331</v>
      </c>
      <c r="BU43" s="1210"/>
      <c r="BV43" s="1210"/>
      <c r="BW43" s="1210"/>
      <c r="BX43" s="1210"/>
      <c r="BY43" s="113"/>
      <c r="BZ43" s="464">
        <f t="shared" ref="BZ43:ED43" si="1098">+BZ37+BZ41</f>
        <v>1257002450.8459325</v>
      </c>
      <c r="CA43" s="135"/>
      <c r="CH43" s="1209" t="s">
        <v>2331</v>
      </c>
      <c r="CI43" s="1210"/>
      <c r="CJ43" s="1210"/>
      <c r="CK43" s="1210"/>
      <c r="CL43" s="1210"/>
      <c r="CM43" s="113"/>
      <c r="CN43" s="464">
        <f t="shared" si="1098"/>
        <v>1256477432.627362</v>
      </c>
      <c r="CO43" s="135"/>
      <c r="CV43" s="1209" t="s">
        <v>2331</v>
      </c>
      <c r="CW43" s="1210"/>
      <c r="CX43" s="1210"/>
      <c r="CY43" s="1210"/>
      <c r="CZ43" s="1210"/>
      <c r="DA43" s="113"/>
      <c r="DB43" s="464">
        <f t="shared" si="1098"/>
        <v>689177695.00467753</v>
      </c>
      <c r="DC43" s="135"/>
      <c r="DJ43" s="1209" t="s">
        <v>2331</v>
      </c>
      <c r="DK43" s="1210"/>
      <c r="DL43" s="1210"/>
      <c r="DM43" s="1210"/>
      <c r="DN43" s="1210"/>
      <c r="DO43" s="113"/>
      <c r="DP43" s="464">
        <f t="shared" si="1098"/>
        <v>1401091009.5329294</v>
      </c>
      <c r="DQ43" s="135"/>
      <c r="DX43" s="1209" t="s">
        <v>2331</v>
      </c>
      <c r="DY43" s="1210"/>
      <c r="DZ43" s="1210"/>
      <c r="EA43" s="1210"/>
      <c r="EB43" s="1210"/>
      <c r="EC43" s="113"/>
      <c r="ED43" s="464">
        <f t="shared" si="1098"/>
        <v>1006357671.8231627</v>
      </c>
      <c r="EE43" s="135"/>
      <c r="EL43" s="1209" t="s">
        <v>2331</v>
      </c>
      <c r="EM43" s="1210"/>
      <c r="EN43" s="1210"/>
      <c r="EO43" s="1210"/>
      <c r="EP43" s="1210"/>
      <c r="EQ43" s="113"/>
      <c r="ER43" s="464">
        <f t="shared" ref="ER43:GV43" si="1099">+ER37+ER41</f>
        <v>1433678043.3789585</v>
      </c>
      <c r="ES43" s="135"/>
      <c r="EZ43" s="1209" t="s">
        <v>2331</v>
      </c>
      <c r="FA43" s="1210"/>
      <c r="FB43" s="1210"/>
      <c r="FC43" s="1210"/>
      <c r="FD43" s="1210"/>
      <c r="FE43" s="113"/>
      <c r="FF43" s="464">
        <f t="shared" si="1099"/>
        <v>1542220506.7424867</v>
      </c>
      <c r="FG43" s="135"/>
      <c r="FN43" s="1209" t="s">
        <v>2331</v>
      </c>
      <c r="FO43" s="1210"/>
      <c r="FP43" s="1210"/>
      <c r="FQ43" s="1210"/>
      <c r="FR43" s="1210"/>
      <c r="FS43" s="113"/>
      <c r="FT43" s="464">
        <f t="shared" si="1099"/>
        <v>1122090272.4528575</v>
      </c>
      <c r="FU43" s="135"/>
      <c r="GB43" s="1209" t="s">
        <v>2331</v>
      </c>
      <c r="GC43" s="1210"/>
      <c r="GD43" s="1210"/>
      <c r="GE43" s="1210"/>
      <c r="GF43" s="1210"/>
      <c r="GG43" s="113"/>
      <c r="GH43" s="464">
        <f t="shared" si="1099"/>
        <v>867516742.29328632</v>
      </c>
      <c r="GI43" s="135"/>
      <c r="GP43" s="1209" t="s">
        <v>2331</v>
      </c>
      <c r="GQ43" s="1210"/>
      <c r="GR43" s="1210"/>
      <c r="GS43" s="1210"/>
      <c r="GT43" s="1210"/>
      <c r="GU43" s="113"/>
      <c r="GV43" s="464">
        <f t="shared" si="1099"/>
        <v>542628987.23501682</v>
      </c>
      <c r="GW43" s="135"/>
      <c r="HD43" s="1209" t="s">
        <v>2331</v>
      </c>
      <c r="HE43" s="1210"/>
      <c r="HF43" s="1210"/>
      <c r="HG43" s="1210"/>
      <c r="HH43" s="1210"/>
      <c r="HI43" s="113"/>
      <c r="HJ43" s="464">
        <f t="shared" ref="HJ43:KB43" si="1100">+HJ37+HJ41</f>
        <v>1743133761.6495967</v>
      </c>
      <c r="HK43" s="135"/>
      <c r="HR43" s="1209" t="s">
        <v>2331</v>
      </c>
      <c r="HS43" s="1210"/>
      <c r="HT43" s="1210"/>
      <c r="HU43" s="1210"/>
      <c r="HV43" s="1210"/>
      <c r="HW43" s="113"/>
      <c r="HX43" s="464">
        <f t="shared" si="1100"/>
        <v>612273594.2005409</v>
      </c>
      <c r="HY43" s="135"/>
      <c r="IF43" s="1209" t="s">
        <v>2331</v>
      </c>
      <c r="IG43" s="1210"/>
      <c r="IH43" s="1210"/>
      <c r="II43" s="1210"/>
      <c r="IJ43" s="1210"/>
      <c r="IK43" s="113"/>
      <c r="IL43" s="464">
        <f t="shared" si="1100"/>
        <v>411835854.08164901</v>
      </c>
      <c r="IM43" s="135"/>
      <c r="IT43" s="1209" t="s">
        <v>2331</v>
      </c>
      <c r="IU43" s="1210"/>
      <c r="IV43" s="1210"/>
      <c r="IW43" s="1210"/>
      <c r="IX43" s="1210"/>
      <c r="IY43" s="113"/>
      <c r="IZ43" s="464">
        <f t="shared" si="1100"/>
        <v>2560966620.3505106</v>
      </c>
      <c r="JA43" s="135"/>
      <c r="JH43" s="1209" t="s">
        <v>2331</v>
      </c>
      <c r="JI43" s="1210"/>
      <c r="JJ43" s="1210"/>
      <c r="JK43" s="1210"/>
      <c r="JL43" s="1210"/>
      <c r="JM43" s="113"/>
      <c r="JN43" s="464">
        <f t="shared" ref="JN43" si="1101">+JN37+JN41</f>
        <v>2972802474.4321594</v>
      </c>
      <c r="JO43" s="135"/>
      <c r="JV43" s="1209" t="s">
        <v>2331</v>
      </c>
      <c r="JW43" s="1210"/>
      <c r="JX43" s="1210"/>
      <c r="JY43" s="1210"/>
      <c r="JZ43" s="1210"/>
      <c r="KA43" s="113"/>
      <c r="KB43" s="464">
        <f t="shared" si="1100"/>
        <v>862849734.47635055</v>
      </c>
      <c r="KC43" s="135"/>
      <c r="KJ43" s="1209" t="s">
        <v>2331</v>
      </c>
      <c r="KK43" s="1210"/>
      <c r="KL43" s="1210"/>
      <c r="KM43" s="1210"/>
      <c r="KN43" s="1210"/>
      <c r="KO43" s="113"/>
      <c r="KP43" s="464">
        <f t="shared" ref="KP43:MT43" si="1102">+KP37+KP41</f>
        <v>518851798.73760968</v>
      </c>
      <c r="KQ43" s="135"/>
      <c r="KX43" s="1209" t="s">
        <v>2331</v>
      </c>
      <c r="KY43" s="1210"/>
      <c r="KZ43" s="1210"/>
      <c r="LA43" s="1210"/>
      <c r="LB43" s="1210"/>
      <c r="LC43" s="113"/>
      <c r="LD43" s="464">
        <f t="shared" si="1102"/>
        <v>422071257.13920707</v>
      </c>
      <c r="LE43" s="135"/>
      <c r="LL43" s="1209" t="s">
        <v>2331</v>
      </c>
      <c r="LM43" s="1210"/>
      <c r="LN43" s="1210"/>
      <c r="LO43" s="1210"/>
      <c r="LP43" s="1210"/>
      <c r="LQ43" s="113"/>
      <c r="LR43" s="464">
        <f t="shared" si="1102"/>
        <v>1104285256.9713659</v>
      </c>
      <c r="LS43" s="135"/>
      <c r="LZ43" s="1209" t="s">
        <v>2331</v>
      </c>
      <c r="MA43" s="1210"/>
      <c r="MB43" s="1210"/>
      <c r="MC43" s="1210"/>
      <c r="MD43" s="1210"/>
      <c r="ME43" s="113"/>
      <c r="MF43" s="464">
        <f t="shared" si="1102"/>
        <v>1095382749.2306201</v>
      </c>
      <c r="MG43" s="135"/>
      <c r="MN43" s="1209" t="s">
        <v>2331</v>
      </c>
      <c r="MO43" s="1210"/>
      <c r="MP43" s="1210"/>
      <c r="MQ43" s="1210"/>
      <c r="MR43" s="1210"/>
      <c r="MS43" s="113"/>
      <c r="MT43" s="464">
        <f t="shared" si="1102"/>
        <v>1120874939.1922545</v>
      </c>
      <c r="MU43" s="135"/>
      <c r="NB43" s="1209" t="s">
        <v>2331</v>
      </c>
      <c r="NC43" s="1210"/>
      <c r="ND43" s="1210"/>
      <c r="NE43" s="1210"/>
      <c r="NF43" s="1210"/>
      <c r="NG43" s="113"/>
      <c r="NH43" s="464">
        <f t="shared" ref="NH43:PL43" si="1103">+NH37+NH41</f>
        <v>2145130054.7151029</v>
      </c>
      <c r="NI43" s="135"/>
      <c r="NP43" s="1209" t="s">
        <v>2331</v>
      </c>
      <c r="NQ43" s="1210"/>
      <c r="NR43" s="1210"/>
      <c r="NS43" s="1210"/>
      <c r="NT43" s="1210"/>
      <c r="NU43" s="113"/>
      <c r="NV43" s="464">
        <f t="shared" si="1103"/>
        <v>341479834.9571265</v>
      </c>
      <c r="NW43" s="135"/>
      <c r="OD43" s="1209" t="s">
        <v>2331</v>
      </c>
      <c r="OE43" s="1210"/>
      <c r="OF43" s="1210"/>
      <c r="OG43" s="1210"/>
      <c r="OH43" s="1210"/>
      <c r="OI43" s="113"/>
      <c r="OJ43" s="464">
        <f t="shared" si="1103"/>
        <v>445044024.9961859</v>
      </c>
      <c r="OK43" s="135"/>
      <c r="OR43" s="1209" t="s">
        <v>2331</v>
      </c>
      <c r="OS43" s="1210"/>
      <c r="OT43" s="1210"/>
      <c r="OU43" s="1210"/>
      <c r="OV43" s="1210"/>
      <c r="OW43" s="113"/>
      <c r="OX43" s="464">
        <f t="shared" si="1103"/>
        <v>562262205.2855134</v>
      </c>
      <c r="OY43" s="135"/>
      <c r="PF43" s="1209" t="s">
        <v>2331</v>
      </c>
      <c r="PG43" s="1210"/>
      <c r="PH43" s="1210"/>
      <c r="PI43" s="1210"/>
      <c r="PJ43" s="1210"/>
      <c r="PK43" s="113"/>
      <c r="PL43" s="464">
        <f t="shared" si="1103"/>
        <v>142981045.78613788</v>
      </c>
      <c r="PM43" s="135"/>
      <c r="PT43" s="1209" t="s">
        <v>2331</v>
      </c>
      <c r="PU43" s="1210"/>
      <c r="PV43" s="1210"/>
      <c r="PW43" s="1210"/>
      <c r="PX43" s="1210"/>
      <c r="PY43" s="113"/>
      <c r="PZ43" s="464">
        <f t="shared" ref="PZ43:SD43" si="1104">+PZ37+PZ41</f>
        <v>220654485.02695951</v>
      </c>
      <c r="QA43" s="135"/>
      <c r="QH43" s="1209" t="s">
        <v>2331</v>
      </c>
      <c r="QI43" s="1210"/>
      <c r="QJ43" s="1210"/>
      <c r="QK43" s="1210"/>
      <c r="QL43" s="1210"/>
      <c r="QM43" s="113"/>
      <c r="QN43" s="464">
        <f t="shared" si="1104"/>
        <v>82568370.821054414</v>
      </c>
      <c r="QO43" s="135"/>
      <c r="QV43" s="1209" t="s">
        <v>2331</v>
      </c>
      <c r="QW43" s="1210"/>
      <c r="QX43" s="1210"/>
      <c r="QY43" s="1210"/>
      <c r="QZ43" s="1210"/>
      <c r="RA43" s="113"/>
      <c r="RB43" s="464">
        <f t="shared" si="1104"/>
        <v>186132956.47548324</v>
      </c>
      <c r="RC43" s="135"/>
      <c r="RJ43" s="1209" t="s">
        <v>2331</v>
      </c>
      <c r="RK43" s="1210"/>
      <c r="RL43" s="1210"/>
      <c r="RM43" s="1210"/>
      <c r="RN43" s="1210"/>
      <c r="RO43" s="113"/>
      <c r="RP43" s="464">
        <f t="shared" si="1104"/>
        <v>82790195.799920231</v>
      </c>
      <c r="RQ43" s="135"/>
      <c r="RX43" s="1209" t="s">
        <v>2331</v>
      </c>
      <c r="RY43" s="1210"/>
      <c r="RZ43" s="1210"/>
      <c r="SA43" s="1210"/>
      <c r="SB43" s="1210"/>
      <c r="SC43" s="113"/>
      <c r="SD43" s="464">
        <f t="shared" si="1104"/>
        <v>125720281.51039976</v>
      </c>
      <c r="SE43" s="135"/>
      <c r="SL43" s="1209" t="s">
        <v>2331</v>
      </c>
      <c r="SM43" s="1210"/>
      <c r="SN43" s="1210"/>
      <c r="SO43" s="1210"/>
      <c r="SP43" s="1210"/>
      <c r="SQ43" s="113"/>
      <c r="SR43" s="464">
        <f t="shared" ref="SR43" si="1105">+SR37+SR41</f>
        <v>0</v>
      </c>
      <c r="SS43" s="135"/>
      <c r="SZ43" s="1209" t="s">
        <v>2331</v>
      </c>
      <c r="TA43" s="1210"/>
      <c r="TB43" s="1210"/>
      <c r="TC43" s="1210"/>
      <c r="TD43" s="1210"/>
      <c r="TE43" s="113"/>
      <c r="TF43" s="464">
        <f t="shared" ref="TF43" si="1106">+TF37+TF41</f>
        <v>31946217206.037354</v>
      </c>
      <c r="TG43" s="135"/>
    </row>
    <row r="44" spans="1:531" ht="18.75" customHeight="1" thickBot="1"/>
    <row r="45" spans="1:531" ht="31.5" customHeight="1" thickBot="1">
      <c r="B45" s="520" t="s">
        <v>1232</v>
      </c>
      <c r="C45" s="1206" t="s">
        <v>1219</v>
      </c>
      <c r="D45" s="1207"/>
      <c r="E45" s="1207"/>
      <c r="F45" s="1208"/>
      <c r="G45" s="521" t="s">
        <v>1364</v>
      </c>
      <c r="H45" s="522" t="s">
        <v>1332</v>
      </c>
      <c r="P45" s="520" t="s">
        <v>1232</v>
      </c>
      <c r="Q45" s="1207" t="s">
        <v>1219</v>
      </c>
      <c r="R45" s="1207"/>
      <c r="S45" s="1207"/>
      <c r="T45" s="1208"/>
      <c r="U45" s="521" t="s">
        <v>1364</v>
      </c>
      <c r="V45" s="522" t="s">
        <v>1332</v>
      </c>
      <c r="AD45" s="520" t="s">
        <v>1232</v>
      </c>
      <c r="AE45" s="1207" t="s">
        <v>1219</v>
      </c>
      <c r="AF45" s="1207"/>
      <c r="AG45" s="1207"/>
      <c r="AH45" s="1208"/>
      <c r="AI45" s="521" t="s">
        <v>1364</v>
      </c>
      <c r="AJ45" s="522" t="s">
        <v>1332</v>
      </c>
      <c r="AR45" s="520" t="s">
        <v>1232</v>
      </c>
      <c r="AS45" s="1207" t="s">
        <v>1219</v>
      </c>
      <c r="AT45" s="1207"/>
      <c r="AU45" s="1207"/>
      <c r="AV45" s="1208"/>
      <c r="AW45" s="521" t="s">
        <v>1364</v>
      </c>
      <c r="AX45" s="522" t="s">
        <v>1332</v>
      </c>
      <c r="BF45" s="520" t="s">
        <v>1232</v>
      </c>
      <c r="BG45" s="1207" t="s">
        <v>1219</v>
      </c>
      <c r="BH45" s="1207"/>
      <c r="BI45" s="1207"/>
      <c r="BJ45" s="1208"/>
      <c r="BK45" s="521" t="s">
        <v>1364</v>
      </c>
      <c r="BL45" s="522" t="s">
        <v>1332</v>
      </c>
      <c r="BT45" s="520" t="s">
        <v>1232</v>
      </c>
      <c r="BU45" s="1207" t="s">
        <v>1219</v>
      </c>
      <c r="BV45" s="1207"/>
      <c r="BW45" s="1207"/>
      <c r="BX45" s="1208"/>
      <c r="BY45" s="521" t="s">
        <v>1364</v>
      </c>
      <c r="BZ45" s="522" t="s">
        <v>1332</v>
      </c>
      <c r="CH45" s="520" t="s">
        <v>1232</v>
      </c>
      <c r="CI45" s="1207" t="s">
        <v>1219</v>
      </c>
      <c r="CJ45" s="1207"/>
      <c r="CK45" s="1207"/>
      <c r="CL45" s="1208"/>
      <c r="CM45" s="521" t="s">
        <v>1364</v>
      </c>
      <c r="CN45" s="522" t="s">
        <v>1332</v>
      </c>
      <c r="CV45" s="520" t="s">
        <v>1232</v>
      </c>
      <c r="CW45" s="1207" t="s">
        <v>1219</v>
      </c>
      <c r="CX45" s="1207"/>
      <c r="CY45" s="1207"/>
      <c r="CZ45" s="1208"/>
      <c r="DA45" s="521" t="s">
        <v>1364</v>
      </c>
      <c r="DB45" s="522" t="s">
        <v>1332</v>
      </c>
      <c r="DJ45" s="520" t="s">
        <v>1232</v>
      </c>
      <c r="DK45" s="1207" t="s">
        <v>1219</v>
      </c>
      <c r="DL45" s="1207"/>
      <c r="DM45" s="1207"/>
      <c r="DN45" s="1208"/>
      <c r="DO45" s="521" t="s">
        <v>1364</v>
      </c>
      <c r="DP45" s="522" t="s">
        <v>1332</v>
      </c>
      <c r="DX45" s="520" t="s">
        <v>1232</v>
      </c>
      <c r="DY45" s="1207" t="s">
        <v>1219</v>
      </c>
      <c r="DZ45" s="1207"/>
      <c r="EA45" s="1207"/>
      <c r="EB45" s="1208"/>
      <c r="EC45" s="521" t="s">
        <v>1364</v>
      </c>
      <c r="ED45" s="522" t="s">
        <v>1332</v>
      </c>
      <c r="EL45" s="520" t="s">
        <v>1232</v>
      </c>
      <c r="EM45" s="1207" t="s">
        <v>1219</v>
      </c>
      <c r="EN45" s="1207"/>
      <c r="EO45" s="1207"/>
      <c r="EP45" s="1208"/>
      <c r="EQ45" s="521" t="s">
        <v>1364</v>
      </c>
      <c r="ER45" s="522" t="s">
        <v>1332</v>
      </c>
      <c r="EZ45" s="520" t="s">
        <v>1232</v>
      </c>
      <c r="FA45" s="1207" t="s">
        <v>1219</v>
      </c>
      <c r="FB45" s="1207"/>
      <c r="FC45" s="1207"/>
      <c r="FD45" s="1208"/>
      <c r="FE45" s="521" t="s">
        <v>1364</v>
      </c>
      <c r="FF45" s="522" t="s">
        <v>1332</v>
      </c>
      <c r="FN45" s="520" t="s">
        <v>1232</v>
      </c>
      <c r="FO45" s="1207" t="s">
        <v>1219</v>
      </c>
      <c r="FP45" s="1207"/>
      <c r="FQ45" s="1207"/>
      <c r="FR45" s="1208"/>
      <c r="FS45" s="521" t="s">
        <v>1364</v>
      </c>
      <c r="FT45" s="522" t="s">
        <v>1332</v>
      </c>
      <c r="GB45" s="520" t="s">
        <v>1232</v>
      </c>
      <c r="GC45" s="1207" t="s">
        <v>1219</v>
      </c>
      <c r="GD45" s="1207"/>
      <c r="GE45" s="1207"/>
      <c r="GF45" s="1208"/>
      <c r="GG45" s="521" t="s">
        <v>1364</v>
      </c>
      <c r="GH45" s="522" t="s">
        <v>1332</v>
      </c>
      <c r="GP45" s="520" t="s">
        <v>1232</v>
      </c>
      <c r="GQ45" s="1207" t="s">
        <v>1219</v>
      </c>
      <c r="GR45" s="1207"/>
      <c r="GS45" s="1207"/>
      <c r="GT45" s="1208"/>
      <c r="GU45" s="521" t="s">
        <v>1364</v>
      </c>
      <c r="GV45" s="522" t="s">
        <v>1332</v>
      </c>
      <c r="HD45" s="520" t="s">
        <v>1232</v>
      </c>
      <c r="HE45" s="1207" t="s">
        <v>1219</v>
      </c>
      <c r="HF45" s="1207"/>
      <c r="HG45" s="1207"/>
      <c r="HH45" s="1208"/>
      <c r="HI45" s="521" t="s">
        <v>1364</v>
      </c>
      <c r="HJ45" s="522" t="s">
        <v>1332</v>
      </c>
      <c r="HR45" s="520" t="s">
        <v>1232</v>
      </c>
      <c r="HS45" s="1207" t="s">
        <v>1219</v>
      </c>
      <c r="HT45" s="1207"/>
      <c r="HU45" s="1207"/>
      <c r="HV45" s="1208"/>
      <c r="HW45" s="521" t="s">
        <v>1364</v>
      </c>
      <c r="HX45" s="522" t="s">
        <v>1332</v>
      </c>
      <c r="IF45" s="520" t="s">
        <v>1232</v>
      </c>
      <c r="IG45" s="1207" t="s">
        <v>1219</v>
      </c>
      <c r="IH45" s="1207"/>
      <c r="II45" s="1207"/>
      <c r="IJ45" s="1208"/>
      <c r="IK45" s="521" t="s">
        <v>1364</v>
      </c>
      <c r="IL45" s="522" t="s">
        <v>1332</v>
      </c>
      <c r="IT45" s="520" t="s">
        <v>1232</v>
      </c>
      <c r="IU45" s="1207" t="s">
        <v>1219</v>
      </c>
      <c r="IV45" s="1207"/>
      <c r="IW45" s="1207"/>
      <c r="IX45" s="1208"/>
      <c r="IY45" s="521" t="s">
        <v>1364</v>
      </c>
      <c r="IZ45" s="522" t="s">
        <v>1332</v>
      </c>
      <c r="JH45" s="520" t="s">
        <v>1232</v>
      </c>
      <c r="JI45" s="1207" t="s">
        <v>1219</v>
      </c>
      <c r="JJ45" s="1207"/>
      <c r="JK45" s="1207"/>
      <c r="JL45" s="1208"/>
      <c r="JM45" s="521" t="s">
        <v>1364</v>
      </c>
      <c r="JN45" s="522" t="s">
        <v>1332</v>
      </c>
      <c r="JV45" s="520" t="s">
        <v>1232</v>
      </c>
      <c r="JW45" s="1207" t="s">
        <v>1219</v>
      </c>
      <c r="JX45" s="1207"/>
      <c r="JY45" s="1207"/>
      <c r="JZ45" s="1208"/>
      <c r="KA45" s="521" t="s">
        <v>1364</v>
      </c>
      <c r="KB45" s="522" t="s">
        <v>1332</v>
      </c>
      <c r="KJ45" s="520" t="s">
        <v>1232</v>
      </c>
      <c r="KK45" s="1207" t="s">
        <v>1219</v>
      </c>
      <c r="KL45" s="1207"/>
      <c r="KM45" s="1207"/>
      <c r="KN45" s="1208"/>
      <c r="KO45" s="521" t="s">
        <v>1364</v>
      </c>
      <c r="KP45" s="522" t="s">
        <v>1332</v>
      </c>
      <c r="KX45" s="520" t="s">
        <v>1232</v>
      </c>
      <c r="KY45" s="1207" t="s">
        <v>1219</v>
      </c>
      <c r="KZ45" s="1207"/>
      <c r="LA45" s="1207"/>
      <c r="LB45" s="1208"/>
      <c r="LC45" s="521" t="s">
        <v>1364</v>
      </c>
      <c r="LD45" s="522" t="s">
        <v>1332</v>
      </c>
      <c r="LL45" s="520" t="s">
        <v>1232</v>
      </c>
      <c r="LM45" s="1207" t="s">
        <v>1219</v>
      </c>
      <c r="LN45" s="1207"/>
      <c r="LO45" s="1207"/>
      <c r="LP45" s="1208"/>
      <c r="LQ45" s="521" t="s">
        <v>1364</v>
      </c>
      <c r="LR45" s="522" t="s">
        <v>1332</v>
      </c>
      <c r="LZ45" s="520" t="s">
        <v>1232</v>
      </c>
      <c r="MA45" s="1207" t="s">
        <v>1219</v>
      </c>
      <c r="MB45" s="1207"/>
      <c r="MC45" s="1207"/>
      <c r="MD45" s="1208"/>
      <c r="ME45" s="521" t="s">
        <v>1364</v>
      </c>
      <c r="MF45" s="522" t="s">
        <v>1332</v>
      </c>
      <c r="MN45" s="520" t="s">
        <v>1232</v>
      </c>
      <c r="MO45" s="1207" t="s">
        <v>1219</v>
      </c>
      <c r="MP45" s="1207"/>
      <c r="MQ45" s="1207"/>
      <c r="MR45" s="1208"/>
      <c r="MS45" s="521" t="s">
        <v>1364</v>
      </c>
      <c r="MT45" s="522" t="s">
        <v>1332</v>
      </c>
      <c r="NB45" s="520" t="s">
        <v>1232</v>
      </c>
      <c r="NC45" s="1207" t="s">
        <v>1219</v>
      </c>
      <c r="ND45" s="1207"/>
      <c r="NE45" s="1207"/>
      <c r="NF45" s="1208"/>
      <c r="NG45" s="521" t="s">
        <v>1364</v>
      </c>
      <c r="NH45" s="522" t="s">
        <v>1332</v>
      </c>
      <c r="NP45" s="520" t="s">
        <v>1232</v>
      </c>
      <c r="NQ45" s="1207" t="s">
        <v>1219</v>
      </c>
      <c r="NR45" s="1207"/>
      <c r="NS45" s="1207"/>
      <c r="NT45" s="1208"/>
      <c r="NU45" s="521" t="s">
        <v>1364</v>
      </c>
      <c r="NV45" s="522" t="s">
        <v>1332</v>
      </c>
      <c r="OD45" s="520" t="s">
        <v>1232</v>
      </c>
      <c r="OE45" s="1207" t="s">
        <v>1219</v>
      </c>
      <c r="OF45" s="1207"/>
      <c r="OG45" s="1207"/>
      <c r="OH45" s="1208"/>
      <c r="OI45" s="521" t="s">
        <v>1364</v>
      </c>
      <c r="OJ45" s="522" t="s">
        <v>1332</v>
      </c>
      <c r="OR45" s="520" t="s">
        <v>1232</v>
      </c>
      <c r="OS45" s="1207" t="s">
        <v>1219</v>
      </c>
      <c r="OT45" s="1207"/>
      <c r="OU45" s="1207"/>
      <c r="OV45" s="1208"/>
      <c r="OW45" s="521" t="s">
        <v>1364</v>
      </c>
      <c r="OX45" s="522" t="s">
        <v>1332</v>
      </c>
      <c r="PF45" s="520" t="s">
        <v>1232</v>
      </c>
      <c r="PG45" s="1207" t="s">
        <v>1219</v>
      </c>
      <c r="PH45" s="1207"/>
      <c r="PI45" s="1207"/>
      <c r="PJ45" s="1208"/>
      <c r="PK45" s="521" t="s">
        <v>1364</v>
      </c>
      <c r="PL45" s="522" t="s">
        <v>1332</v>
      </c>
      <c r="PT45" s="520" t="s">
        <v>1232</v>
      </c>
      <c r="PU45" s="1207" t="s">
        <v>1219</v>
      </c>
      <c r="PV45" s="1207"/>
      <c r="PW45" s="1207"/>
      <c r="PX45" s="1208"/>
      <c r="PY45" s="521" t="s">
        <v>1364</v>
      </c>
      <c r="PZ45" s="522" t="s">
        <v>1332</v>
      </c>
      <c r="QH45" s="520" t="s">
        <v>1232</v>
      </c>
      <c r="QI45" s="1207" t="s">
        <v>1219</v>
      </c>
      <c r="QJ45" s="1207"/>
      <c r="QK45" s="1207"/>
      <c r="QL45" s="1208"/>
      <c r="QM45" s="521" t="s">
        <v>1364</v>
      </c>
      <c r="QN45" s="522" t="s">
        <v>1332</v>
      </c>
      <c r="QV45" s="520" t="s">
        <v>1232</v>
      </c>
      <c r="QW45" s="1207" t="s">
        <v>1219</v>
      </c>
      <c r="QX45" s="1207"/>
      <c r="QY45" s="1207"/>
      <c r="QZ45" s="1208"/>
      <c r="RA45" s="521" t="s">
        <v>1364</v>
      </c>
      <c r="RB45" s="522" t="s">
        <v>1332</v>
      </c>
      <c r="RJ45" s="520" t="s">
        <v>1232</v>
      </c>
      <c r="RK45" s="1207" t="s">
        <v>1219</v>
      </c>
      <c r="RL45" s="1207"/>
      <c r="RM45" s="1207"/>
      <c r="RN45" s="1208"/>
      <c r="RO45" s="521" t="s">
        <v>1364</v>
      </c>
      <c r="RP45" s="522" t="s">
        <v>1332</v>
      </c>
      <c r="RX45" s="520" t="s">
        <v>1232</v>
      </c>
      <c r="RY45" s="1207" t="s">
        <v>1219</v>
      </c>
      <c r="RZ45" s="1207"/>
      <c r="SA45" s="1207"/>
      <c r="SB45" s="1208"/>
      <c r="SC45" s="521" t="s">
        <v>1364</v>
      </c>
      <c r="SD45" s="522" t="s">
        <v>1332</v>
      </c>
      <c r="SL45" s="520" t="s">
        <v>1232</v>
      </c>
      <c r="SM45" s="1207" t="s">
        <v>1219</v>
      </c>
      <c r="SN45" s="1207"/>
      <c r="SO45" s="1207"/>
      <c r="SP45" s="1208"/>
      <c r="SQ45" s="521" t="s">
        <v>1364</v>
      </c>
      <c r="SR45" s="522" t="s">
        <v>1332</v>
      </c>
      <c r="SZ45" s="520" t="s">
        <v>1232</v>
      </c>
      <c r="TA45" s="1207" t="s">
        <v>1219</v>
      </c>
      <c r="TB45" s="1207"/>
      <c r="TC45" s="1207"/>
      <c r="TD45" s="1208"/>
      <c r="TE45" s="521" t="s">
        <v>1364</v>
      </c>
      <c r="TF45" s="522" t="s">
        <v>1332</v>
      </c>
    </row>
    <row r="46" spans="1:531" ht="18.75" customHeight="1" thickBot="1">
      <c r="B46" s="1211" t="s">
        <v>1367</v>
      </c>
      <c r="C46" s="904" t="s">
        <v>2352</v>
      </c>
      <c r="D46" s="517"/>
      <c r="E46" s="146"/>
      <c r="F46" s="134"/>
      <c r="G46" s="534">
        <f>+'Res de Costos Pais'!$G$123</f>
        <v>9.6600000000000002E-3</v>
      </c>
      <c r="H46" s="523">
        <f>+H43*G46</f>
        <v>27743188.933984373</v>
      </c>
      <c r="M46" s="934">
        <f>+H46/H65</f>
        <v>9.5037991091457014E-3</v>
      </c>
      <c r="P46" s="1211" t="s">
        <v>1367</v>
      </c>
      <c r="Q46" s="904" t="s">
        <v>2352</v>
      </c>
      <c r="R46" s="517"/>
      <c r="S46" s="146"/>
      <c r="T46" s="134"/>
      <c r="U46" s="534">
        <f>+'Res de Costos Pais'!$G$123</f>
        <v>9.6600000000000002E-3</v>
      </c>
      <c r="V46" s="523">
        <f t="shared" ref="V46" si="1107">+V43*U46</f>
        <v>6523116.7287634546</v>
      </c>
      <c r="AA46" s="934">
        <f t="shared" ref="AA46" si="1108">+V46/V65</f>
        <v>9.5037991091457032E-3</v>
      </c>
      <c r="AD46" s="1211" t="s">
        <v>1367</v>
      </c>
      <c r="AE46" s="904" t="s">
        <v>2352</v>
      </c>
      <c r="AF46" s="517"/>
      <c r="AG46" s="146"/>
      <c r="AH46" s="134"/>
      <c r="AI46" s="534">
        <f>+'Res de Costos Pais'!$G$123</f>
        <v>9.6600000000000002E-3</v>
      </c>
      <c r="AJ46" s="523">
        <f t="shared" ref="AJ46" si="1109">+AJ43*AI46</f>
        <v>34266305.662747823</v>
      </c>
      <c r="AO46" s="934">
        <f t="shared" ref="AO46" si="1110">+AJ46/AJ65</f>
        <v>9.5037991091457014E-3</v>
      </c>
      <c r="AR46" s="1211" t="s">
        <v>1367</v>
      </c>
      <c r="AS46" s="904" t="s">
        <v>2352</v>
      </c>
      <c r="AT46" s="517"/>
      <c r="AU46" s="146"/>
      <c r="AV46" s="134"/>
      <c r="AW46" s="534">
        <f>+'Res de Costos Pais'!$G$123</f>
        <v>9.6600000000000002E-3</v>
      </c>
      <c r="AX46" s="523">
        <f t="shared" ref="AX46" si="1111">+AX43*AW46</f>
        <v>9893411.5593629591</v>
      </c>
      <c r="BC46" s="934">
        <f t="shared" ref="BC46" si="1112">+AX46/AX65</f>
        <v>9.5037991091457014E-3</v>
      </c>
      <c r="BF46" s="1211" t="s">
        <v>1367</v>
      </c>
      <c r="BG46" s="904" t="s">
        <v>2352</v>
      </c>
      <c r="BH46" s="517"/>
      <c r="BI46" s="146"/>
      <c r="BJ46" s="134"/>
      <c r="BK46" s="534">
        <f>+'Res de Costos Pais'!$G$123</f>
        <v>9.6600000000000002E-3</v>
      </c>
      <c r="BL46" s="523">
        <f t="shared" ref="BL46" si="1113">+BL43*BK46</f>
        <v>14193322.798143158</v>
      </c>
      <c r="BQ46" s="934">
        <f t="shared" ref="BQ46" si="1114">+BL46/BL65</f>
        <v>9.5037991091457014E-3</v>
      </c>
      <c r="BT46" s="1211" t="s">
        <v>1367</v>
      </c>
      <c r="BU46" s="904" t="s">
        <v>2352</v>
      </c>
      <c r="BV46" s="517"/>
      <c r="BW46" s="146"/>
      <c r="BX46" s="134"/>
      <c r="BY46" s="534">
        <f>+'Res de Costos Pais'!$G$123</f>
        <v>9.6600000000000002E-3</v>
      </c>
      <c r="BZ46" s="523">
        <f t="shared" ref="BZ46" si="1115">+BZ43*BY46</f>
        <v>12142643.675171709</v>
      </c>
      <c r="CE46" s="934">
        <f t="shared" ref="CE46" si="1116">+BZ46/BZ65</f>
        <v>9.5037991091457014E-3</v>
      </c>
      <c r="CH46" s="1211" t="s">
        <v>1367</v>
      </c>
      <c r="CI46" s="904" t="s">
        <v>2352</v>
      </c>
      <c r="CJ46" s="517"/>
      <c r="CK46" s="146"/>
      <c r="CL46" s="134"/>
      <c r="CM46" s="534">
        <f>+'Res de Costos Pais'!$G$123</f>
        <v>9.6600000000000002E-3</v>
      </c>
      <c r="CN46" s="523">
        <f t="shared" ref="CN46" si="1117">+CN43*CM46</f>
        <v>12137571.999180317</v>
      </c>
      <c r="CS46" s="934">
        <f t="shared" ref="CS46" si="1118">+CN46/CN65</f>
        <v>9.5037991091457014E-3</v>
      </c>
      <c r="CV46" s="1211" t="s">
        <v>1367</v>
      </c>
      <c r="CW46" s="904" t="s">
        <v>2352</v>
      </c>
      <c r="CX46" s="517"/>
      <c r="CY46" s="146"/>
      <c r="CZ46" s="134"/>
      <c r="DA46" s="534">
        <f>+'Res de Costos Pais'!$G$123</f>
        <v>9.6600000000000002E-3</v>
      </c>
      <c r="DB46" s="523">
        <f t="shared" ref="DB46" si="1119">+DB43*DA46</f>
        <v>6657456.5337451855</v>
      </c>
      <c r="DG46" s="934">
        <f t="shared" ref="DG46" si="1120">+DB46/DB65</f>
        <v>9.5037991091457032E-3</v>
      </c>
      <c r="DJ46" s="1211" t="s">
        <v>1367</v>
      </c>
      <c r="DK46" s="904" t="s">
        <v>2352</v>
      </c>
      <c r="DL46" s="517"/>
      <c r="DM46" s="146"/>
      <c r="DN46" s="134"/>
      <c r="DO46" s="534">
        <f>+'Res de Costos Pais'!$G$123</f>
        <v>9.6600000000000002E-3</v>
      </c>
      <c r="DP46" s="523">
        <f t="shared" ref="DP46" si="1121">+DP43*DO46</f>
        <v>13534539.152088098</v>
      </c>
      <c r="DU46" s="934">
        <f t="shared" ref="DU46" si="1122">+DP46/DP65</f>
        <v>9.5037991091457014E-3</v>
      </c>
      <c r="DX46" s="1211" t="s">
        <v>1367</v>
      </c>
      <c r="DY46" s="904" t="s">
        <v>2352</v>
      </c>
      <c r="DZ46" s="517"/>
      <c r="EA46" s="146"/>
      <c r="EB46" s="134"/>
      <c r="EC46" s="534">
        <f>+'Res de Costos Pais'!$G$123</f>
        <v>9.6600000000000002E-3</v>
      </c>
      <c r="ED46" s="523">
        <f t="shared" ref="ED46" si="1123">+ED43*EC46</f>
        <v>9721415.1098117512</v>
      </c>
      <c r="EI46" s="934">
        <f t="shared" ref="EI46" si="1124">+ED46/ED65</f>
        <v>9.5037991091457014E-3</v>
      </c>
      <c r="EL46" s="1211" t="s">
        <v>1367</v>
      </c>
      <c r="EM46" s="904" t="s">
        <v>2352</v>
      </c>
      <c r="EN46" s="517"/>
      <c r="EO46" s="146"/>
      <c r="EP46" s="134"/>
      <c r="EQ46" s="534">
        <f>+'Res de Costos Pais'!$G$123</f>
        <v>9.6600000000000002E-3</v>
      </c>
      <c r="ER46" s="523">
        <f t="shared" ref="ER46" si="1125">+ER43*EQ46</f>
        <v>13849329.899040738</v>
      </c>
      <c r="EW46" s="934">
        <f t="shared" ref="EW46" si="1126">+ER46/ER65</f>
        <v>9.5037991091457014E-3</v>
      </c>
      <c r="EZ46" s="1211" t="s">
        <v>1367</v>
      </c>
      <c r="FA46" s="904" t="s">
        <v>2352</v>
      </c>
      <c r="FB46" s="517"/>
      <c r="FC46" s="146"/>
      <c r="FD46" s="134"/>
      <c r="FE46" s="534">
        <f>+'Res de Costos Pais'!$G$123</f>
        <v>9.6600000000000002E-3</v>
      </c>
      <c r="FF46" s="523">
        <f t="shared" ref="FF46" si="1127">+FF43*FE46</f>
        <v>14897850.095132422</v>
      </c>
      <c r="FK46" s="934">
        <f t="shared" ref="FK46" si="1128">+FF46/FF65</f>
        <v>9.5037991091457032E-3</v>
      </c>
      <c r="FN46" s="1211" t="s">
        <v>1367</v>
      </c>
      <c r="FO46" s="904" t="s">
        <v>2352</v>
      </c>
      <c r="FP46" s="517"/>
      <c r="FQ46" s="146"/>
      <c r="FR46" s="134"/>
      <c r="FS46" s="534">
        <f>+'Res de Costos Pais'!$G$123</f>
        <v>9.6600000000000002E-3</v>
      </c>
      <c r="FT46" s="523">
        <f t="shared" ref="FT46" si="1129">+FT43*FS46</f>
        <v>10839392.031894604</v>
      </c>
      <c r="FY46" s="934">
        <f t="shared" ref="FY46" si="1130">+FT46/FT65</f>
        <v>9.5037991091457014E-3</v>
      </c>
      <c r="GB46" s="1211" t="s">
        <v>1367</v>
      </c>
      <c r="GC46" s="904" t="s">
        <v>2352</v>
      </c>
      <c r="GD46" s="517"/>
      <c r="GE46" s="146"/>
      <c r="GF46" s="134"/>
      <c r="GG46" s="534">
        <f>+'Res de Costos Pais'!$G$123</f>
        <v>9.6600000000000002E-3</v>
      </c>
      <c r="GH46" s="523">
        <f t="shared" ref="GH46" si="1131">+GH43*GG46</f>
        <v>8380211.7305531465</v>
      </c>
      <c r="GM46" s="934">
        <f t="shared" ref="GM46" si="1132">+GH46/GH65</f>
        <v>9.5037991091457014E-3</v>
      </c>
      <c r="GP46" s="1211" t="s">
        <v>1367</v>
      </c>
      <c r="GQ46" s="904" t="s">
        <v>2352</v>
      </c>
      <c r="GR46" s="517"/>
      <c r="GS46" s="146"/>
      <c r="GT46" s="134"/>
      <c r="GU46" s="534">
        <f>+'Res de Costos Pais'!$G$123</f>
        <v>9.6600000000000002E-3</v>
      </c>
      <c r="GV46" s="523">
        <f t="shared" ref="GV46" si="1133">+GV43*GU46</f>
        <v>5241796.0166902626</v>
      </c>
      <c r="HA46" s="934">
        <f t="shared" ref="HA46" si="1134">+GV46/GV65</f>
        <v>9.5037991091457032E-3</v>
      </c>
      <c r="HD46" s="1211" t="s">
        <v>1367</v>
      </c>
      <c r="HE46" s="904" t="s">
        <v>2352</v>
      </c>
      <c r="HF46" s="517"/>
      <c r="HG46" s="146"/>
      <c r="HH46" s="134"/>
      <c r="HI46" s="534">
        <f>+'Res de Costos Pais'!$G$123</f>
        <v>9.6600000000000002E-3</v>
      </c>
      <c r="HJ46" s="523">
        <f t="shared" ref="HJ46" si="1135">+HJ43*HI46</f>
        <v>16838672.137535103</v>
      </c>
      <c r="HO46" s="934">
        <f t="shared" ref="HO46" si="1136">+HJ46/HJ65</f>
        <v>9.5037991091457014E-3</v>
      </c>
      <c r="HR46" s="1211" t="s">
        <v>1367</v>
      </c>
      <c r="HS46" s="904" t="s">
        <v>2352</v>
      </c>
      <c r="HT46" s="517"/>
      <c r="HU46" s="146"/>
      <c r="HV46" s="134"/>
      <c r="HW46" s="534">
        <f>+'Res de Costos Pais'!$G$123</f>
        <v>9.6600000000000002E-3</v>
      </c>
      <c r="HX46" s="523">
        <f t="shared" ref="HX46" si="1137">+HX43*HW46</f>
        <v>5914562.9199772254</v>
      </c>
      <c r="IC46" s="934">
        <f t="shared" ref="IC46" si="1138">+HX46/HX65</f>
        <v>9.5037991091457049E-3</v>
      </c>
      <c r="IF46" s="1211" t="s">
        <v>1367</v>
      </c>
      <c r="IG46" s="904" t="s">
        <v>2352</v>
      </c>
      <c r="IH46" s="517"/>
      <c r="II46" s="146"/>
      <c r="IJ46" s="134"/>
      <c r="IK46" s="534">
        <f>+'Res de Costos Pais'!$G$123</f>
        <v>9.6600000000000002E-3</v>
      </c>
      <c r="IL46" s="523">
        <f t="shared" ref="IL46" si="1139">+IL43*IK46</f>
        <v>3978334.3504287293</v>
      </c>
      <c r="IQ46" s="934">
        <f t="shared" ref="IQ46" si="1140">+IL46/IL65</f>
        <v>9.5037991091457014E-3</v>
      </c>
      <c r="IT46" s="1211" t="s">
        <v>1367</v>
      </c>
      <c r="IU46" s="904" t="s">
        <v>2352</v>
      </c>
      <c r="IV46" s="517"/>
      <c r="IW46" s="146"/>
      <c r="IX46" s="134"/>
      <c r="IY46" s="534">
        <f>+'Res de Costos Pais'!$G$123</f>
        <v>9.6600000000000002E-3</v>
      </c>
      <c r="IZ46" s="523">
        <f t="shared" ref="IZ46" si="1141">+IZ43*IY46</f>
        <v>24738937.552585933</v>
      </c>
      <c r="JE46" s="934">
        <f t="shared" ref="JE46" si="1142">+IZ46/IZ65</f>
        <v>9.5037991091457014E-3</v>
      </c>
      <c r="JH46" s="1211" t="s">
        <v>1367</v>
      </c>
      <c r="JI46" s="904" t="s">
        <v>2352</v>
      </c>
      <c r="JJ46" s="517"/>
      <c r="JK46" s="146"/>
      <c r="JL46" s="134"/>
      <c r="JM46" s="534">
        <f>+'Res de Costos Pais'!$G$123</f>
        <v>9.6600000000000002E-3</v>
      </c>
      <c r="JN46" s="523">
        <f t="shared" ref="JN46" si="1143">+JN43*JM46</f>
        <v>28717271.90301466</v>
      </c>
      <c r="JS46" s="934">
        <f t="shared" ref="JS46" si="1144">+JN46/JN65</f>
        <v>9.5037991091457014E-3</v>
      </c>
      <c r="JV46" s="1211" t="s">
        <v>1367</v>
      </c>
      <c r="JW46" s="904" t="s">
        <v>2352</v>
      </c>
      <c r="JX46" s="517"/>
      <c r="JY46" s="146"/>
      <c r="JZ46" s="134"/>
      <c r="KA46" s="534">
        <f>+'Res de Costos Pais'!$G$123</f>
        <v>9.6600000000000002E-3</v>
      </c>
      <c r="KB46" s="523">
        <f t="shared" ref="KB46" si="1145">+KB43*KA46</f>
        <v>8335128.4350415468</v>
      </c>
      <c r="KG46" s="934">
        <f t="shared" ref="KG46" si="1146">+KB46/KB65</f>
        <v>9.5037991091457032E-3</v>
      </c>
      <c r="KJ46" s="1211" t="s">
        <v>1367</v>
      </c>
      <c r="KK46" s="904" t="s">
        <v>2352</v>
      </c>
      <c r="KL46" s="517"/>
      <c r="KM46" s="146"/>
      <c r="KN46" s="134"/>
      <c r="KO46" s="534">
        <f>+'Res de Costos Pais'!$G$123</f>
        <v>9.6600000000000002E-3</v>
      </c>
      <c r="KP46" s="523">
        <f t="shared" ref="KP46" si="1147">+KP43*KO46</f>
        <v>5012108.37580531</v>
      </c>
      <c r="KU46" s="934">
        <f t="shared" ref="KU46" si="1148">+KP46/KP65</f>
        <v>9.5037991091457032E-3</v>
      </c>
      <c r="KX46" s="1211" t="s">
        <v>1367</v>
      </c>
      <c r="KY46" s="904" t="s">
        <v>2352</v>
      </c>
      <c r="KZ46" s="517"/>
      <c r="LA46" s="146"/>
      <c r="LB46" s="134"/>
      <c r="LC46" s="534">
        <f>+'Res de Costos Pais'!$G$123</f>
        <v>9.6600000000000002E-3</v>
      </c>
      <c r="LD46" s="523">
        <f t="shared" ref="LD46" si="1149">+LD43*LC46</f>
        <v>4077208.3439647402</v>
      </c>
      <c r="LI46" s="934">
        <f t="shared" ref="LI46" si="1150">+LD46/LD65</f>
        <v>9.5037991091457032E-3</v>
      </c>
      <c r="LL46" s="1211" t="s">
        <v>1367</v>
      </c>
      <c r="LM46" s="904" t="s">
        <v>2352</v>
      </c>
      <c r="LN46" s="517"/>
      <c r="LO46" s="146"/>
      <c r="LP46" s="134"/>
      <c r="LQ46" s="534">
        <f>+'Res de Costos Pais'!$G$123</f>
        <v>9.6600000000000002E-3</v>
      </c>
      <c r="LR46" s="523">
        <f t="shared" ref="LR46" si="1151">+LR43*LQ46</f>
        <v>10667395.582343396</v>
      </c>
      <c r="LW46" s="934">
        <f t="shared" ref="LW46" si="1152">+LR46/LR65</f>
        <v>9.5037991091457032E-3</v>
      </c>
      <c r="LZ46" s="1211" t="s">
        <v>1367</v>
      </c>
      <c r="MA46" s="904" t="s">
        <v>2352</v>
      </c>
      <c r="MB46" s="517"/>
      <c r="MC46" s="146"/>
      <c r="MD46" s="134"/>
      <c r="ME46" s="534">
        <f>+'Res de Costos Pais'!$G$123</f>
        <v>9.6600000000000002E-3</v>
      </c>
      <c r="MF46" s="523">
        <f t="shared" ref="MF46" si="1153">+MF43*ME46</f>
        <v>10581397.357567791</v>
      </c>
      <c r="MK46" s="934">
        <f t="shared" ref="MK46" si="1154">+MF46/MF65</f>
        <v>9.5037991091457014E-3</v>
      </c>
      <c r="MN46" s="1211" t="s">
        <v>1367</v>
      </c>
      <c r="MO46" s="904" t="s">
        <v>2352</v>
      </c>
      <c r="MP46" s="517"/>
      <c r="MQ46" s="146"/>
      <c r="MR46" s="134"/>
      <c r="MS46" s="534">
        <f>+'Res de Costos Pais'!$G$123</f>
        <v>9.6600000000000002E-3</v>
      </c>
      <c r="MT46" s="523">
        <f t="shared" ref="MT46" si="1155">+MT43*MS46</f>
        <v>10827651.912597179</v>
      </c>
      <c r="MY46" s="934">
        <f t="shared" ref="MY46" si="1156">+MT46/MT65</f>
        <v>9.5037991091457032E-3</v>
      </c>
      <c r="NB46" s="1211" t="s">
        <v>1367</v>
      </c>
      <c r="NC46" s="904" t="s">
        <v>2352</v>
      </c>
      <c r="ND46" s="517"/>
      <c r="NE46" s="146"/>
      <c r="NF46" s="134"/>
      <c r="NG46" s="534">
        <f>+'Res de Costos Pais'!$G$123</f>
        <v>9.6600000000000002E-3</v>
      </c>
      <c r="NH46" s="523">
        <f t="shared" ref="NH46" si="1157">+NH43*NG46</f>
        <v>20721956.328547895</v>
      </c>
      <c r="NM46" s="934">
        <f t="shared" ref="NM46" si="1158">+NH46/NH65</f>
        <v>9.5037991091457032E-3</v>
      </c>
      <c r="NP46" s="1211" t="s">
        <v>1367</v>
      </c>
      <c r="NQ46" s="904" t="s">
        <v>2352</v>
      </c>
      <c r="NR46" s="517"/>
      <c r="NS46" s="146"/>
      <c r="NT46" s="134"/>
      <c r="NU46" s="534">
        <f>+'Res de Costos Pais'!$G$123</f>
        <v>9.6600000000000002E-3</v>
      </c>
      <c r="NV46" s="523">
        <f t="shared" ref="NV46" si="1159">+NV43*NU46</f>
        <v>3298695.2056858419</v>
      </c>
      <c r="OA46" s="934">
        <f t="shared" ref="OA46" si="1160">+NV46/NV65</f>
        <v>9.5037991091457014E-3</v>
      </c>
      <c r="OD46" s="1211" t="s">
        <v>1367</v>
      </c>
      <c r="OE46" s="904" t="s">
        <v>2352</v>
      </c>
      <c r="OF46" s="517"/>
      <c r="OG46" s="146"/>
      <c r="OH46" s="134"/>
      <c r="OI46" s="534">
        <f>+'Res de Costos Pais'!$G$123</f>
        <v>9.6600000000000002E-3</v>
      </c>
      <c r="OJ46" s="523">
        <f t="shared" ref="OJ46" si="1161">+OJ43*OI46</f>
        <v>4299125.2814631555</v>
      </c>
      <c r="OO46" s="934">
        <f t="shared" ref="OO46" si="1162">+OJ46/OJ65</f>
        <v>9.5037991091457014E-3</v>
      </c>
      <c r="OR46" s="1211" t="s">
        <v>1367</v>
      </c>
      <c r="OS46" s="904" t="s">
        <v>2352</v>
      </c>
      <c r="OT46" s="517"/>
      <c r="OU46" s="146"/>
      <c r="OV46" s="134"/>
      <c r="OW46" s="534">
        <f>+'Res de Costos Pais'!$G$123</f>
        <v>9.6600000000000002E-3</v>
      </c>
      <c r="OX46" s="523">
        <f t="shared" ref="OX46" si="1163">+OX43*OW46</f>
        <v>5431452.9030580595</v>
      </c>
      <c r="PC46" s="934">
        <f t="shared" ref="PC46" si="1164">+OX46/OX65</f>
        <v>9.5037991091457014E-3</v>
      </c>
      <c r="PF46" s="1211" t="s">
        <v>1367</v>
      </c>
      <c r="PG46" s="904" t="s">
        <v>2352</v>
      </c>
      <c r="PH46" s="517"/>
      <c r="PI46" s="146"/>
      <c r="PJ46" s="134"/>
      <c r="PK46" s="534">
        <f>+'Res de Costos Pais'!$G$123</f>
        <v>9.6600000000000002E-3</v>
      </c>
      <c r="PL46" s="523">
        <f t="shared" ref="PL46" si="1165">+PL43*PK46</f>
        <v>1381196.9022940919</v>
      </c>
      <c r="PQ46" s="934">
        <f t="shared" ref="PQ46" si="1166">+PL46/PL65</f>
        <v>9.5037991091456997E-3</v>
      </c>
      <c r="PT46" s="1211" t="s">
        <v>1367</v>
      </c>
      <c r="PU46" s="904" t="s">
        <v>2352</v>
      </c>
      <c r="PV46" s="517"/>
      <c r="PW46" s="146"/>
      <c r="PX46" s="134"/>
      <c r="PY46" s="534">
        <f>+'Res de Costos Pais'!$G$123</f>
        <v>9.6600000000000002E-3</v>
      </c>
      <c r="PZ46" s="523">
        <f t="shared" ref="PZ46" si="1167">+PZ43*PY46</f>
        <v>2131522.325360429</v>
      </c>
      <c r="QE46" s="934">
        <f t="shared" ref="QE46" si="1168">+PZ46/PZ65</f>
        <v>9.5037991091457032E-3</v>
      </c>
      <c r="QH46" s="1211" t="s">
        <v>1367</v>
      </c>
      <c r="QI46" s="904" t="s">
        <v>2352</v>
      </c>
      <c r="QJ46" s="517"/>
      <c r="QK46" s="146"/>
      <c r="QL46" s="134"/>
      <c r="QM46" s="534">
        <f>+'Res de Costos Pais'!$G$123</f>
        <v>9.6600000000000002E-3</v>
      </c>
      <c r="QN46" s="523">
        <f t="shared" ref="QN46" si="1169">+QN43*QM46</f>
        <v>797610.46213138569</v>
      </c>
      <c r="QS46" s="934">
        <f t="shared" ref="QS46" si="1170">+QN46/QN65</f>
        <v>9.5037991091457032E-3</v>
      </c>
      <c r="QV46" s="1211" t="s">
        <v>1367</v>
      </c>
      <c r="QW46" s="904" t="s">
        <v>2352</v>
      </c>
      <c r="QX46" s="517"/>
      <c r="QY46" s="146"/>
      <c r="QZ46" s="134"/>
      <c r="RA46" s="534">
        <f>+'Res de Costos Pais'!$G$123</f>
        <v>9.6600000000000002E-3</v>
      </c>
      <c r="RB46" s="523">
        <f t="shared" ref="RB46" si="1171">+RB43*RA46</f>
        <v>1798044.3595531681</v>
      </c>
      <c r="RG46" s="934">
        <f t="shared" ref="RG46" si="1172">+RB46/RB65</f>
        <v>9.5037991091457032E-3</v>
      </c>
      <c r="RJ46" s="1211" t="s">
        <v>1367</v>
      </c>
      <c r="RK46" s="904" t="s">
        <v>2352</v>
      </c>
      <c r="RL46" s="517"/>
      <c r="RM46" s="146"/>
      <c r="RN46" s="134"/>
      <c r="RO46" s="534">
        <f>+'Res de Costos Pais'!$G$123</f>
        <v>9.6600000000000002E-3</v>
      </c>
      <c r="RP46" s="523">
        <f t="shared" ref="RP46" si="1173">+RP43*RO46</f>
        <v>799753.29142722941</v>
      </c>
      <c r="RU46" s="934">
        <f t="shared" ref="RU46" si="1174">+RP46/RP65</f>
        <v>9.5037991091457032E-3</v>
      </c>
      <c r="RX46" s="1211" t="s">
        <v>1367</v>
      </c>
      <c r="RY46" s="904" t="s">
        <v>2352</v>
      </c>
      <c r="RZ46" s="517"/>
      <c r="SA46" s="146"/>
      <c r="SB46" s="134"/>
      <c r="SC46" s="534">
        <f>+'Res de Costos Pais'!$G$123</f>
        <v>9.6600000000000002E-3</v>
      </c>
      <c r="SD46" s="523">
        <f t="shared" ref="SD46" si="1175">+SD43*SC46</f>
        <v>1214457.9193904616</v>
      </c>
      <c r="SI46" s="934">
        <f t="shared" ref="SI46" si="1176">+SD46/SD65</f>
        <v>9.5037991091457014E-3</v>
      </c>
      <c r="SL46" s="1211" t="s">
        <v>1367</v>
      </c>
      <c r="SM46" s="904" t="s">
        <v>2352</v>
      </c>
      <c r="SN46" s="517"/>
      <c r="SO46" s="146"/>
      <c r="SP46" s="134"/>
      <c r="SQ46" s="534">
        <f>+'Res de Costos Pais'!$G$123</f>
        <v>9.6600000000000002E-3</v>
      </c>
      <c r="SR46" s="523">
        <f t="shared" ref="SR46" si="1177">+SR43*SQ46</f>
        <v>0</v>
      </c>
      <c r="SW46" s="934">
        <f>IF(ISERROR((+SR46/SR65)),0,(+SR46/SR65))</f>
        <v>0</v>
      </c>
      <c r="SZ46" s="1211" t="s">
        <v>1367</v>
      </c>
      <c r="TA46" s="904" t="s">
        <v>2352</v>
      </c>
      <c r="TB46" s="517"/>
      <c r="TC46" s="146"/>
      <c r="TD46" s="134"/>
      <c r="TE46" s="534">
        <f>+'Res de Costos Pais'!$G$123</f>
        <v>9.6600000000000002E-3</v>
      </c>
      <c r="TF46" s="523">
        <f t="shared" ref="TF46" si="1178">+TF43*TE46</f>
        <v>308600458.21032083</v>
      </c>
      <c r="TK46" s="934">
        <f t="shared" ref="TK46" si="1179">+TF46/TF65</f>
        <v>9.5037991091457014E-3</v>
      </c>
    </row>
    <row r="47" spans="1:531" ht="18.75" customHeight="1" thickBot="1">
      <c r="B47" s="1212"/>
      <c r="C47" s="905" t="s">
        <v>1342</v>
      </c>
      <c r="D47" s="518"/>
      <c r="E47" s="119"/>
      <c r="F47" s="528"/>
      <c r="G47" s="535">
        <f>+'Res de Costos Pais'!$G$124</f>
        <v>0</v>
      </c>
      <c r="H47" s="529">
        <f>+H43*G47</f>
        <v>0</v>
      </c>
      <c r="P47" s="1212"/>
      <c r="Q47" s="905" t="s">
        <v>1342</v>
      </c>
      <c r="R47" s="518"/>
      <c r="S47" s="119"/>
      <c r="T47" s="528"/>
      <c r="U47" s="535">
        <f>+'Res de Costos Pais'!$G$124</f>
        <v>0</v>
      </c>
      <c r="V47" s="529">
        <f t="shared" ref="V47" si="1180">+V43*U47</f>
        <v>0</v>
      </c>
      <c r="AD47" s="1212"/>
      <c r="AE47" s="905" t="s">
        <v>1342</v>
      </c>
      <c r="AF47" s="518"/>
      <c r="AG47" s="119"/>
      <c r="AH47" s="528"/>
      <c r="AI47" s="535">
        <f>+'Res de Costos Pais'!$G$124</f>
        <v>0</v>
      </c>
      <c r="AJ47" s="529">
        <f t="shared" ref="AJ47" si="1181">+AJ43*AI47</f>
        <v>0</v>
      </c>
      <c r="AR47" s="1212"/>
      <c r="AS47" s="905" t="s">
        <v>1342</v>
      </c>
      <c r="AT47" s="518"/>
      <c r="AU47" s="119"/>
      <c r="AV47" s="528"/>
      <c r="AW47" s="535">
        <f>+'Res de Costos Pais'!$G$124</f>
        <v>0</v>
      </c>
      <c r="AX47" s="529">
        <f t="shared" ref="AX47" si="1182">+AX43*AW47</f>
        <v>0</v>
      </c>
      <c r="BF47" s="1212"/>
      <c r="BG47" s="905" t="s">
        <v>1342</v>
      </c>
      <c r="BH47" s="518"/>
      <c r="BI47" s="119"/>
      <c r="BJ47" s="528"/>
      <c r="BK47" s="535">
        <f>+'Res de Costos Pais'!$G$124</f>
        <v>0</v>
      </c>
      <c r="BL47" s="529">
        <f t="shared" ref="BL47" si="1183">+BL43*BK47</f>
        <v>0</v>
      </c>
      <c r="BT47" s="1212"/>
      <c r="BU47" s="905" t="s">
        <v>1342</v>
      </c>
      <c r="BV47" s="518"/>
      <c r="BW47" s="119"/>
      <c r="BX47" s="528"/>
      <c r="BY47" s="535">
        <f>+'Res de Costos Pais'!$G$124</f>
        <v>0</v>
      </c>
      <c r="BZ47" s="529">
        <f t="shared" ref="BZ47" si="1184">+BZ43*BY47</f>
        <v>0</v>
      </c>
      <c r="CH47" s="1212"/>
      <c r="CI47" s="905" t="s">
        <v>1342</v>
      </c>
      <c r="CJ47" s="518"/>
      <c r="CK47" s="119"/>
      <c r="CL47" s="528"/>
      <c r="CM47" s="535">
        <f>+'Res de Costos Pais'!$G$124</f>
        <v>0</v>
      </c>
      <c r="CN47" s="529">
        <f t="shared" ref="CN47" si="1185">+CN43*CM47</f>
        <v>0</v>
      </c>
      <c r="CV47" s="1212"/>
      <c r="CW47" s="905" t="s">
        <v>1342</v>
      </c>
      <c r="CX47" s="518"/>
      <c r="CY47" s="119"/>
      <c r="CZ47" s="528"/>
      <c r="DA47" s="535">
        <f>+'Res de Costos Pais'!$G$124</f>
        <v>0</v>
      </c>
      <c r="DB47" s="529">
        <f t="shared" ref="DB47" si="1186">+DB43*DA47</f>
        <v>0</v>
      </c>
      <c r="DJ47" s="1212"/>
      <c r="DK47" s="905" t="s">
        <v>1342</v>
      </c>
      <c r="DL47" s="518"/>
      <c r="DM47" s="119"/>
      <c r="DN47" s="528"/>
      <c r="DO47" s="535">
        <f>+'Res de Costos Pais'!$G$124</f>
        <v>0</v>
      </c>
      <c r="DP47" s="529">
        <f t="shared" ref="DP47" si="1187">+DP43*DO47</f>
        <v>0</v>
      </c>
      <c r="DX47" s="1212"/>
      <c r="DY47" s="905" t="s">
        <v>1342</v>
      </c>
      <c r="DZ47" s="518"/>
      <c r="EA47" s="119"/>
      <c r="EB47" s="528"/>
      <c r="EC47" s="535">
        <f>+'Res de Costos Pais'!$G$124</f>
        <v>0</v>
      </c>
      <c r="ED47" s="529">
        <f t="shared" ref="ED47" si="1188">+ED43*EC47</f>
        <v>0</v>
      </c>
      <c r="EL47" s="1212"/>
      <c r="EM47" s="905" t="s">
        <v>1342</v>
      </c>
      <c r="EN47" s="518"/>
      <c r="EO47" s="119"/>
      <c r="EP47" s="528"/>
      <c r="EQ47" s="535">
        <f>+'Res de Costos Pais'!$G$124</f>
        <v>0</v>
      </c>
      <c r="ER47" s="529">
        <f t="shared" ref="ER47" si="1189">+ER43*EQ47</f>
        <v>0</v>
      </c>
      <c r="EZ47" s="1212"/>
      <c r="FA47" s="905" t="s">
        <v>1342</v>
      </c>
      <c r="FB47" s="518"/>
      <c r="FC47" s="119"/>
      <c r="FD47" s="528"/>
      <c r="FE47" s="535">
        <f>+'Res de Costos Pais'!$G$124</f>
        <v>0</v>
      </c>
      <c r="FF47" s="529">
        <f t="shared" ref="FF47" si="1190">+FF43*FE47</f>
        <v>0</v>
      </c>
      <c r="FN47" s="1212"/>
      <c r="FO47" s="905" t="s">
        <v>1342</v>
      </c>
      <c r="FP47" s="518"/>
      <c r="FQ47" s="119"/>
      <c r="FR47" s="528"/>
      <c r="FS47" s="535">
        <f>+'Res de Costos Pais'!$G$124</f>
        <v>0</v>
      </c>
      <c r="FT47" s="529">
        <f t="shared" ref="FT47" si="1191">+FT43*FS47</f>
        <v>0</v>
      </c>
      <c r="GB47" s="1212"/>
      <c r="GC47" s="905" t="s">
        <v>1342</v>
      </c>
      <c r="GD47" s="518"/>
      <c r="GE47" s="119"/>
      <c r="GF47" s="528"/>
      <c r="GG47" s="535">
        <f>+'Res de Costos Pais'!$G$124</f>
        <v>0</v>
      </c>
      <c r="GH47" s="529">
        <f t="shared" ref="GH47" si="1192">+GH43*GG47</f>
        <v>0</v>
      </c>
      <c r="GP47" s="1212"/>
      <c r="GQ47" s="905" t="s">
        <v>1342</v>
      </c>
      <c r="GR47" s="518"/>
      <c r="GS47" s="119"/>
      <c r="GT47" s="528"/>
      <c r="GU47" s="535">
        <f>+'Res de Costos Pais'!$G$124</f>
        <v>0</v>
      </c>
      <c r="GV47" s="529">
        <f t="shared" ref="GV47" si="1193">+GV43*GU47</f>
        <v>0</v>
      </c>
      <c r="HD47" s="1212"/>
      <c r="HE47" s="905" t="s">
        <v>1342</v>
      </c>
      <c r="HF47" s="518"/>
      <c r="HG47" s="119"/>
      <c r="HH47" s="528"/>
      <c r="HI47" s="535">
        <f>+'Res de Costos Pais'!$G$124</f>
        <v>0</v>
      </c>
      <c r="HJ47" s="529">
        <f t="shared" ref="HJ47" si="1194">+HJ43*HI47</f>
        <v>0</v>
      </c>
      <c r="HR47" s="1212"/>
      <c r="HS47" s="905" t="s">
        <v>1342</v>
      </c>
      <c r="HT47" s="518"/>
      <c r="HU47" s="119"/>
      <c r="HV47" s="528"/>
      <c r="HW47" s="535">
        <f>+'Res de Costos Pais'!$G$124</f>
        <v>0</v>
      </c>
      <c r="HX47" s="529">
        <f t="shared" ref="HX47" si="1195">+HX43*HW47</f>
        <v>0</v>
      </c>
      <c r="IF47" s="1212"/>
      <c r="IG47" s="905" t="s">
        <v>1342</v>
      </c>
      <c r="IH47" s="518"/>
      <c r="II47" s="119"/>
      <c r="IJ47" s="528"/>
      <c r="IK47" s="535">
        <f>+'Res de Costos Pais'!$G$124</f>
        <v>0</v>
      </c>
      <c r="IL47" s="529">
        <f t="shared" ref="IL47" si="1196">+IL43*IK47</f>
        <v>0</v>
      </c>
      <c r="IT47" s="1212"/>
      <c r="IU47" s="905" t="s">
        <v>1342</v>
      </c>
      <c r="IV47" s="518"/>
      <c r="IW47" s="119"/>
      <c r="IX47" s="528"/>
      <c r="IY47" s="535">
        <f>+'Res de Costos Pais'!$G$124</f>
        <v>0</v>
      </c>
      <c r="IZ47" s="529">
        <f t="shared" ref="IZ47" si="1197">+IZ43*IY47</f>
        <v>0</v>
      </c>
      <c r="JH47" s="1212"/>
      <c r="JI47" s="905" t="s">
        <v>1342</v>
      </c>
      <c r="JJ47" s="518"/>
      <c r="JK47" s="119"/>
      <c r="JL47" s="528"/>
      <c r="JM47" s="535">
        <f>+'Res de Costos Pais'!$G$124</f>
        <v>0</v>
      </c>
      <c r="JN47" s="529">
        <f t="shared" ref="JN47" si="1198">+JN43*JM47</f>
        <v>0</v>
      </c>
      <c r="JV47" s="1212"/>
      <c r="JW47" s="905" t="s">
        <v>1342</v>
      </c>
      <c r="JX47" s="518"/>
      <c r="JY47" s="119"/>
      <c r="JZ47" s="528"/>
      <c r="KA47" s="535">
        <f>+'Res de Costos Pais'!$G$124</f>
        <v>0</v>
      </c>
      <c r="KB47" s="529">
        <f t="shared" ref="KB47" si="1199">+KB43*KA47</f>
        <v>0</v>
      </c>
      <c r="KJ47" s="1212"/>
      <c r="KK47" s="905" t="s">
        <v>1342</v>
      </c>
      <c r="KL47" s="518"/>
      <c r="KM47" s="119"/>
      <c r="KN47" s="528"/>
      <c r="KO47" s="535">
        <f>+'Res de Costos Pais'!$G$124</f>
        <v>0</v>
      </c>
      <c r="KP47" s="529">
        <f t="shared" ref="KP47" si="1200">+KP43*KO47</f>
        <v>0</v>
      </c>
      <c r="KX47" s="1212"/>
      <c r="KY47" s="905" t="s">
        <v>1342</v>
      </c>
      <c r="KZ47" s="518"/>
      <c r="LA47" s="119"/>
      <c r="LB47" s="528"/>
      <c r="LC47" s="535">
        <f>+'Res de Costos Pais'!$G$124</f>
        <v>0</v>
      </c>
      <c r="LD47" s="529">
        <f t="shared" ref="LD47" si="1201">+LD43*LC47</f>
        <v>0</v>
      </c>
      <c r="LL47" s="1212"/>
      <c r="LM47" s="905" t="s">
        <v>1342</v>
      </c>
      <c r="LN47" s="518"/>
      <c r="LO47" s="119"/>
      <c r="LP47" s="528"/>
      <c r="LQ47" s="535">
        <f>+'Res de Costos Pais'!$G$124</f>
        <v>0</v>
      </c>
      <c r="LR47" s="529">
        <f t="shared" ref="LR47" si="1202">+LR43*LQ47</f>
        <v>0</v>
      </c>
      <c r="LZ47" s="1212"/>
      <c r="MA47" s="905" t="s">
        <v>1342</v>
      </c>
      <c r="MB47" s="518"/>
      <c r="MC47" s="119"/>
      <c r="MD47" s="528"/>
      <c r="ME47" s="535">
        <f>+'Res de Costos Pais'!$G$124</f>
        <v>0</v>
      </c>
      <c r="MF47" s="529">
        <f t="shared" ref="MF47" si="1203">+MF43*ME47</f>
        <v>0</v>
      </c>
      <c r="MN47" s="1212"/>
      <c r="MO47" s="905" t="s">
        <v>1342</v>
      </c>
      <c r="MP47" s="518"/>
      <c r="MQ47" s="119"/>
      <c r="MR47" s="528"/>
      <c r="MS47" s="535">
        <f>+'Res de Costos Pais'!$G$124</f>
        <v>0</v>
      </c>
      <c r="MT47" s="529">
        <f t="shared" ref="MT47" si="1204">+MT43*MS47</f>
        <v>0</v>
      </c>
      <c r="NB47" s="1212"/>
      <c r="NC47" s="905" t="s">
        <v>1342</v>
      </c>
      <c r="ND47" s="518"/>
      <c r="NE47" s="119"/>
      <c r="NF47" s="528"/>
      <c r="NG47" s="535">
        <f>+'Res de Costos Pais'!$G$124</f>
        <v>0</v>
      </c>
      <c r="NH47" s="529">
        <f t="shared" ref="NH47" si="1205">+NH43*NG47</f>
        <v>0</v>
      </c>
      <c r="NP47" s="1212"/>
      <c r="NQ47" s="905" t="s">
        <v>1342</v>
      </c>
      <c r="NR47" s="518"/>
      <c r="NS47" s="119"/>
      <c r="NT47" s="528"/>
      <c r="NU47" s="535">
        <f>+'Res de Costos Pais'!$G$124</f>
        <v>0</v>
      </c>
      <c r="NV47" s="529">
        <f t="shared" ref="NV47" si="1206">+NV43*NU47</f>
        <v>0</v>
      </c>
      <c r="OD47" s="1212"/>
      <c r="OE47" s="905" t="s">
        <v>1342</v>
      </c>
      <c r="OF47" s="518"/>
      <c r="OG47" s="119"/>
      <c r="OH47" s="528"/>
      <c r="OI47" s="535">
        <f>+'Res de Costos Pais'!$G$124</f>
        <v>0</v>
      </c>
      <c r="OJ47" s="529">
        <f t="shared" ref="OJ47" si="1207">+OJ43*OI47</f>
        <v>0</v>
      </c>
      <c r="OR47" s="1212"/>
      <c r="OS47" s="905" t="s">
        <v>1342</v>
      </c>
      <c r="OT47" s="518"/>
      <c r="OU47" s="119"/>
      <c r="OV47" s="528"/>
      <c r="OW47" s="535">
        <f>+'Res de Costos Pais'!$G$124</f>
        <v>0</v>
      </c>
      <c r="OX47" s="529">
        <f t="shared" ref="OX47" si="1208">+OX43*OW47</f>
        <v>0</v>
      </c>
      <c r="PF47" s="1212"/>
      <c r="PG47" s="905" t="s">
        <v>1342</v>
      </c>
      <c r="PH47" s="518"/>
      <c r="PI47" s="119"/>
      <c r="PJ47" s="528"/>
      <c r="PK47" s="535">
        <f>+'Res de Costos Pais'!$G$124</f>
        <v>0</v>
      </c>
      <c r="PL47" s="529">
        <f t="shared" ref="PL47" si="1209">+PL43*PK47</f>
        <v>0</v>
      </c>
      <c r="PT47" s="1212"/>
      <c r="PU47" s="905" t="s">
        <v>1342</v>
      </c>
      <c r="PV47" s="518"/>
      <c r="PW47" s="119"/>
      <c r="PX47" s="528"/>
      <c r="PY47" s="535">
        <f>+'Res de Costos Pais'!$G$124</f>
        <v>0</v>
      </c>
      <c r="PZ47" s="529">
        <f t="shared" ref="PZ47" si="1210">+PZ43*PY47</f>
        <v>0</v>
      </c>
      <c r="QH47" s="1212"/>
      <c r="QI47" s="905" t="s">
        <v>1342</v>
      </c>
      <c r="QJ47" s="518"/>
      <c r="QK47" s="119"/>
      <c r="QL47" s="528"/>
      <c r="QM47" s="535">
        <f>+'Res de Costos Pais'!$G$124</f>
        <v>0</v>
      </c>
      <c r="QN47" s="529">
        <f t="shared" ref="QN47" si="1211">+QN43*QM47</f>
        <v>0</v>
      </c>
      <c r="QV47" s="1212"/>
      <c r="QW47" s="905" t="s">
        <v>1342</v>
      </c>
      <c r="QX47" s="518"/>
      <c r="QY47" s="119"/>
      <c r="QZ47" s="528"/>
      <c r="RA47" s="535">
        <f>+'Res de Costos Pais'!$G$124</f>
        <v>0</v>
      </c>
      <c r="RB47" s="529">
        <f t="shared" ref="RB47" si="1212">+RB43*RA47</f>
        <v>0</v>
      </c>
      <c r="RJ47" s="1212"/>
      <c r="RK47" s="905" t="s">
        <v>1342</v>
      </c>
      <c r="RL47" s="518"/>
      <c r="RM47" s="119"/>
      <c r="RN47" s="528"/>
      <c r="RO47" s="535">
        <f>+'Res de Costos Pais'!$G$124</f>
        <v>0</v>
      </c>
      <c r="RP47" s="529">
        <f t="shared" ref="RP47" si="1213">+RP43*RO47</f>
        <v>0</v>
      </c>
      <c r="RX47" s="1212"/>
      <c r="RY47" s="905" t="s">
        <v>1342</v>
      </c>
      <c r="RZ47" s="518"/>
      <c r="SA47" s="119"/>
      <c r="SB47" s="528"/>
      <c r="SC47" s="535">
        <f>+'Res de Costos Pais'!$G$124</f>
        <v>0</v>
      </c>
      <c r="SD47" s="529">
        <f t="shared" ref="SD47" si="1214">+SD43*SC47</f>
        <v>0</v>
      </c>
      <c r="SL47" s="1212"/>
      <c r="SM47" s="905" t="s">
        <v>1342</v>
      </c>
      <c r="SN47" s="518"/>
      <c r="SO47" s="119"/>
      <c r="SP47" s="528"/>
      <c r="SQ47" s="535">
        <f>+'Res de Costos Pais'!$G$124</f>
        <v>0</v>
      </c>
      <c r="SR47" s="529">
        <f t="shared" ref="SR47" si="1215">+SR43*SQ47</f>
        <v>0</v>
      </c>
      <c r="SZ47" s="1212"/>
      <c r="TA47" s="905" t="s">
        <v>1342</v>
      </c>
      <c r="TB47" s="518"/>
      <c r="TC47" s="119"/>
      <c r="TD47" s="528"/>
      <c r="TE47" s="535">
        <f>+'Res de Costos Pais'!$G$124</f>
        <v>0</v>
      </c>
      <c r="TF47" s="529">
        <f t="shared" ref="TF47" si="1216">+TF43*TE47</f>
        <v>0</v>
      </c>
    </row>
    <row r="48" spans="1:531" ht="18" customHeight="1" thickBot="1">
      <c r="B48" s="949" t="s">
        <v>1368</v>
      </c>
      <c r="C48" s="129"/>
      <c r="D48" s="129"/>
      <c r="E48" s="129"/>
      <c r="F48" s="129"/>
      <c r="G48" s="129"/>
      <c r="H48" s="434">
        <f>+H46+H47</f>
        <v>27743188.933984373</v>
      </c>
      <c r="I48" s="131"/>
      <c r="P48" s="949" t="s">
        <v>1368</v>
      </c>
      <c r="Q48" s="129"/>
      <c r="R48" s="129"/>
      <c r="S48" s="129"/>
      <c r="T48" s="129"/>
      <c r="U48" s="129"/>
      <c r="V48" s="434">
        <f t="shared" ref="V48" si="1217">+V46+V47</f>
        <v>6523116.7287634546</v>
      </c>
      <c r="W48" s="131"/>
      <c r="AD48" s="949" t="s">
        <v>1368</v>
      </c>
      <c r="AE48" s="129"/>
      <c r="AF48" s="129"/>
      <c r="AG48" s="129"/>
      <c r="AH48" s="129"/>
      <c r="AI48" s="129"/>
      <c r="AJ48" s="434">
        <f t="shared" ref="AJ48" si="1218">+AJ46+AJ47</f>
        <v>34266305.662747823</v>
      </c>
      <c r="AK48" s="131"/>
      <c r="AR48" s="949" t="s">
        <v>1368</v>
      </c>
      <c r="AS48" s="129"/>
      <c r="AT48" s="129"/>
      <c r="AU48" s="129"/>
      <c r="AV48" s="129"/>
      <c r="AW48" s="129"/>
      <c r="AX48" s="434">
        <f t="shared" ref="AX48" si="1219">+AX46+AX47</f>
        <v>9893411.5593629591</v>
      </c>
      <c r="AY48" s="131"/>
      <c r="BF48" s="949" t="s">
        <v>1368</v>
      </c>
      <c r="BG48" s="129"/>
      <c r="BH48" s="129"/>
      <c r="BI48" s="129"/>
      <c r="BJ48" s="129"/>
      <c r="BK48" s="129"/>
      <c r="BL48" s="434">
        <f t="shared" ref="BL48" si="1220">+BL46+BL47</f>
        <v>14193322.798143158</v>
      </c>
      <c r="BM48" s="131"/>
      <c r="BT48" s="949" t="s">
        <v>1368</v>
      </c>
      <c r="BU48" s="129"/>
      <c r="BV48" s="129"/>
      <c r="BW48" s="129"/>
      <c r="BX48" s="129"/>
      <c r="BY48" s="129"/>
      <c r="BZ48" s="434">
        <f t="shared" ref="BZ48:ED48" si="1221">+BZ46+BZ47</f>
        <v>12142643.675171709</v>
      </c>
      <c r="CA48" s="131"/>
      <c r="CH48" s="949" t="s">
        <v>1368</v>
      </c>
      <c r="CI48" s="129"/>
      <c r="CJ48" s="129"/>
      <c r="CK48" s="129"/>
      <c r="CL48" s="129"/>
      <c r="CM48" s="129"/>
      <c r="CN48" s="434">
        <f t="shared" si="1221"/>
        <v>12137571.999180317</v>
      </c>
      <c r="CO48" s="131"/>
      <c r="CV48" s="949" t="s">
        <v>1368</v>
      </c>
      <c r="CW48" s="129"/>
      <c r="CX48" s="129"/>
      <c r="CY48" s="129"/>
      <c r="CZ48" s="129"/>
      <c r="DA48" s="129"/>
      <c r="DB48" s="434">
        <f t="shared" si="1221"/>
        <v>6657456.5337451855</v>
      </c>
      <c r="DC48" s="131"/>
      <c r="DJ48" s="949" t="s">
        <v>1368</v>
      </c>
      <c r="DK48" s="129"/>
      <c r="DL48" s="129"/>
      <c r="DM48" s="129"/>
      <c r="DN48" s="129"/>
      <c r="DO48" s="129"/>
      <c r="DP48" s="434">
        <f t="shared" si="1221"/>
        <v>13534539.152088098</v>
      </c>
      <c r="DQ48" s="131"/>
      <c r="DX48" s="949" t="s">
        <v>1368</v>
      </c>
      <c r="DY48" s="129"/>
      <c r="DZ48" s="129"/>
      <c r="EA48" s="129"/>
      <c r="EB48" s="129"/>
      <c r="EC48" s="129"/>
      <c r="ED48" s="434">
        <f t="shared" si="1221"/>
        <v>9721415.1098117512</v>
      </c>
      <c r="EE48" s="131"/>
      <c r="EL48" s="949" t="s">
        <v>1368</v>
      </c>
      <c r="EM48" s="129"/>
      <c r="EN48" s="129"/>
      <c r="EO48" s="129"/>
      <c r="EP48" s="129"/>
      <c r="EQ48" s="129"/>
      <c r="ER48" s="434">
        <f t="shared" ref="ER48:GV48" si="1222">+ER46+ER47</f>
        <v>13849329.899040738</v>
      </c>
      <c r="ES48" s="131"/>
      <c r="EZ48" s="949" t="s">
        <v>1368</v>
      </c>
      <c r="FA48" s="129"/>
      <c r="FB48" s="129"/>
      <c r="FC48" s="129"/>
      <c r="FD48" s="129"/>
      <c r="FE48" s="129"/>
      <c r="FF48" s="434">
        <f t="shared" si="1222"/>
        <v>14897850.095132422</v>
      </c>
      <c r="FG48" s="131"/>
      <c r="FN48" s="949" t="s">
        <v>1368</v>
      </c>
      <c r="FO48" s="129"/>
      <c r="FP48" s="129"/>
      <c r="FQ48" s="129"/>
      <c r="FR48" s="129"/>
      <c r="FS48" s="129"/>
      <c r="FT48" s="434">
        <f t="shared" si="1222"/>
        <v>10839392.031894604</v>
      </c>
      <c r="FU48" s="131"/>
      <c r="GB48" s="949" t="s">
        <v>1368</v>
      </c>
      <c r="GC48" s="129"/>
      <c r="GD48" s="129"/>
      <c r="GE48" s="129"/>
      <c r="GF48" s="129"/>
      <c r="GG48" s="129"/>
      <c r="GH48" s="434">
        <f t="shared" si="1222"/>
        <v>8380211.7305531465</v>
      </c>
      <c r="GI48" s="131"/>
      <c r="GP48" s="949" t="s">
        <v>1368</v>
      </c>
      <c r="GQ48" s="129"/>
      <c r="GR48" s="129"/>
      <c r="GS48" s="129"/>
      <c r="GT48" s="129"/>
      <c r="GU48" s="129"/>
      <c r="GV48" s="434">
        <f t="shared" si="1222"/>
        <v>5241796.0166902626</v>
      </c>
      <c r="GW48" s="131"/>
      <c r="HD48" s="949" t="s">
        <v>1368</v>
      </c>
      <c r="HE48" s="129"/>
      <c r="HF48" s="129"/>
      <c r="HG48" s="129"/>
      <c r="HH48" s="129"/>
      <c r="HI48" s="129"/>
      <c r="HJ48" s="434">
        <f t="shared" ref="HJ48:KB48" si="1223">+HJ46+HJ47</f>
        <v>16838672.137535103</v>
      </c>
      <c r="HK48" s="131"/>
      <c r="HR48" s="949" t="s">
        <v>1368</v>
      </c>
      <c r="HS48" s="129"/>
      <c r="HT48" s="129"/>
      <c r="HU48" s="129"/>
      <c r="HV48" s="129"/>
      <c r="HW48" s="129"/>
      <c r="HX48" s="434">
        <f t="shared" si="1223"/>
        <v>5914562.9199772254</v>
      </c>
      <c r="HY48" s="131"/>
      <c r="IF48" s="949" t="s">
        <v>1368</v>
      </c>
      <c r="IG48" s="129"/>
      <c r="IH48" s="129"/>
      <c r="II48" s="129"/>
      <c r="IJ48" s="129"/>
      <c r="IK48" s="129"/>
      <c r="IL48" s="434">
        <f t="shared" si="1223"/>
        <v>3978334.3504287293</v>
      </c>
      <c r="IM48" s="131"/>
      <c r="IT48" s="949" t="s">
        <v>1368</v>
      </c>
      <c r="IU48" s="129"/>
      <c r="IV48" s="129"/>
      <c r="IW48" s="129"/>
      <c r="IX48" s="129"/>
      <c r="IY48" s="129"/>
      <c r="IZ48" s="434">
        <f t="shared" si="1223"/>
        <v>24738937.552585933</v>
      </c>
      <c r="JA48" s="131"/>
      <c r="JH48" s="949" t="s">
        <v>1368</v>
      </c>
      <c r="JI48" s="129"/>
      <c r="JJ48" s="129"/>
      <c r="JK48" s="129"/>
      <c r="JL48" s="129"/>
      <c r="JM48" s="129"/>
      <c r="JN48" s="434">
        <f t="shared" ref="JN48" si="1224">+JN46+JN47</f>
        <v>28717271.90301466</v>
      </c>
      <c r="JO48" s="131"/>
      <c r="JV48" s="949" t="s">
        <v>1368</v>
      </c>
      <c r="JW48" s="129"/>
      <c r="JX48" s="129"/>
      <c r="JY48" s="129"/>
      <c r="JZ48" s="129"/>
      <c r="KA48" s="129"/>
      <c r="KB48" s="434">
        <f t="shared" si="1223"/>
        <v>8335128.4350415468</v>
      </c>
      <c r="KC48" s="131"/>
      <c r="KJ48" s="949" t="s">
        <v>1368</v>
      </c>
      <c r="KK48" s="129"/>
      <c r="KL48" s="129"/>
      <c r="KM48" s="129"/>
      <c r="KN48" s="129"/>
      <c r="KO48" s="129"/>
      <c r="KP48" s="434">
        <f t="shared" ref="KP48:MT48" si="1225">+KP46+KP47</f>
        <v>5012108.37580531</v>
      </c>
      <c r="KQ48" s="131"/>
      <c r="KX48" s="949" t="s">
        <v>1368</v>
      </c>
      <c r="KY48" s="129"/>
      <c r="KZ48" s="129"/>
      <c r="LA48" s="129"/>
      <c r="LB48" s="129"/>
      <c r="LC48" s="129"/>
      <c r="LD48" s="434">
        <f t="shared" si="1225"/>
        <v>4077208.3439647402</v>
      </c>
      <c r="LE48" s="131"/>
      <c r="LL48" s="949" t="s">
        <v>1368</v>
      </c>
      <c r="LM48" s="129"/>
      <c r="LN48" s="129"/>
      <c r="LO48" s="129"/>
      <c r="LP48" s="129"/>
      <c r="LQ48" s="129"/>
      <c r="LR48" s="434">
        <f t="shared" si="1225"/>
        <v>10667395.582343396</v>
      </c>
      <c r="LS48" s="131"/>
      <c r="LZ48" s="949" t="s">
        <v>1368</v>
      </c>
      <c r="MA48" s="129"/>
      <c r="MB48" s="129"/>
      <c r="MC48" s="129"/>
      <c r="MD48" s="129"/>
      <c r="ME48" s="129"/>
      <c r="MF48" s="434">
        <f t="shared" si="1225"/>
        <v>10581397.357567791</v>
      </c>
      <c r="MG48" s="131"/>
      <c r="MN48" s="949" t="s">
        <v>1368</v>
      </c>
      <c r="MO48" s="129"/>
      <c r="MP48" s="129"/>
      <c r="MQ48" s="129"/>
      <c r="MR48" s="129"/>
      <c r="MS48" s="129"/>
      <c r="MT48" s="434">
        <f t="shared" si="1225"/>
        <v>10827651.912597179</v>
      </c>
      <c r="MU48" s="131"/>
      <c r="NB48" s="949" t="s">
        <v>1368</v>
      </c>
      <c r="NC48" s="129"/>
      <c r="ND48" s="129"/>
      <c r="NE48" s="129"/>
      <c r="NF48" s="129"/>
      <c r="NG48" s="129"/>
      <c r="NH48" s="434">
        <f t="shared" ref="NH48:PL48" si="1226">+NH46+NH47</f>
        <v>20721956.328547895</v>
      </c>
      <c r="NI48" s="131"/>
      <c r="NP48" s="949" t="s">
        <v>1368</v>
      </c>
      <c r="NQ48" s="129"/>
      <c r="NR48" s="129"/>
      <c r="NS48" s="129"/>
      <c r="NT48" s="129"/>
      <c r="NU48" s="129"/>
      <c r="NV48" s="434">
        <f t="shared" si="1226"/>
        <v>3298695.2056858419</v>
      </c>
      <c r="NW48" s="131"/>
      <c r="OD48" s="949" t="s">
        <v>1368</v>
      </c>
      <c r="OE48" s="129"/>
      <c r="OF48" s="129"/>
      <c r="OG48" s="129"/>
      <c r="OH48" s="129"/>
      <c r="OI48" s="129"/>
      <c r="OJ48" s="434">
        <f t="shared" si="1226"/>
        <v>4299125.2814631555</v>
      </c>
      <c r="OK48" s="131"/>
      <c r="OR48" s="949" t="s">
        <v>1368</v>
      </c>
      <c r="OS48" s="129"/>
      <c r="OT48" s="129"/>
      <c r="OU48" s="129"/>
      <c r="OV48" s="129"/>
      <c r="OW48" s="129"/>
      <c r="OX48" s="434">
        <f t="shared" si="1226"/>
        <v>5431452.9030580595</v>
      </c>
      <c r="OY48" s="131"/>
      <c r="PF48" s="949" t="s">
        <v>1368</v>
      </c>
      <c r="PG48" s="129"/>
      <c r="PH48" s="129"/>
      <c r="PI48" s="129"/>
      <c r="PJ48" s="129"/>
      <c r="PK48" s="129"/>
      <c r="PL48" s="434">
        <f t="shared" si="1226"/>
        <v>1381196.9022940919</v>
      </c>
      <c r="PM48" s="131"/>
      <c r="PT48" s="949" t="s">
        <v>1368</v>
      </c>
      <c r="PU48" s="129"/>
      <c r="PV48" s="129"/>
      <c r="PW48" s="129"/>
      <c r="PX48" s="129"/>
      <c r="PY48" s="129"/>
      <c r="PZ48" s="434">
        <f t="shared" ref="PZ48:SD48" si="1227">+PZ46+PZ47</f>
        <v>2131522.325360429</v>
      </c>
      <c r="QA48" s="131"/>
      <c r="QH48" s="949" t="s">
        <v>1368</v>
      </c>
      <c r="QI48" s="129"/>
      <c r="QJ48" s="129"/>
      <c r="QK48" s="129"/>
      <c r="QL48" s="129"/>
      <c r="QM48" s="129"/>
      <c r="QN48" s="434">
        <f t="shared" si="1227"/>
        <v>797610.46213138569</v>
      </c>
      <c r="QO48" s="131"/>
      <c r="QV48" s="949" t="s">
        <v>1368</v>
      </c>
      <c r="QW48" s="129"/>
      <c r="QX48" s="129"/>
      <c r="QY48" s="129"/>
      <c r="QZ48" s="129"/>
      <c r="RA48" s="129"/>
      <c r="RB48" s="434">
        <f t="shared" si="1227"/>
        <v>1798044.3595531681</v>
      </c>
      <c r="RC48" s="131"/>
      <c r="RJ48" s="949" t="s">
        <v>1368</v>
      </c>
      <c r="RK48" s="129"/>
      <c r="RL48" s="129"/>
      <c r="RM48" s="129"/>
      <c r="RN48" s="129"/>
      <c r="RO48" s="129"/>
      <c r="RP48" s="434">
        <f t="shared" si="1227"/>
        <v>799753.29142722941</v>
      </c>
      <c r="RQ48" s="131"/>
      <c r="RX48" s="949" t="s">
        <v>1368</v>
      </c>
      <c r="RY48" s="129"/>
      <c r="RZ48" s="129"/>
      <c r="SA48" s="129"/>
      <c r="SB48" s="129"/>
      <c r="SC48" s="129"/>
      <c r="SD48" s="434">
        <f t="shared" si="1227"/>
        <v>1214457.9193904616</v>
      </c>
      <c r="SE48" s="131"/>
      <c r="SL48" s="949" t="s">
        <v>1368</v>
      </c>
      <c r="SM48" s="129"/>
      <c r="SN48" s="129"/>
      <c r="SO48" s="129"/>
      <c r="SP48" s="129"/>
      <c r="SQ48" s="129"/>
      <c r="SR48" s="434">
        <f t="shared" ref="SR48" si="1228">+SR46+SR47</f>
        <v>0</v>
      </c>
      <c r="SS48" s="131"/>
      <c r="SZ48" s="949" t="s">
        <v>1368</v>
      </c>
      <c r="TA48" s="129"/>
      <c r="TB48" s="129"/>
      <c r="TC48" s="129"/>
      <c r="TD48" s="129"/>
      <c r="TE48" s="129"/>
      <c r="TF48" s="434">
        <f t="shared" ref="TF48" si="1229">+TF46+TF47</f>
        <v>308600458.21032083</v>
      </c>
      <c r="TG48" s="131"/>
    </row>
    <row r="49" spans="2:532" ht="18.75" customHeight="1" thickBot="1">
      <c r="B49" s="530"/>
      <c r="C49" s="518"/>
      <c r="D49" s="518"/>
      <c r="E49" s="119"/>
      <c r="F49" s="119"/>
      <c r="G49" s="531"/>
      <c r="H49" s="532"/>
      <c r="P49" s="530"/>
      <c r="Q49" s="518"/>
      <c r="R49" s="518"/>
      <c r="S49" s="119"/>
      <c r="T49" s="119"/>
      <c r="U49" s="531"/>
      <c r="V49" s="532"/>
      <c r="AD49" s="530"/>
      <c r="AE49" s="518"/>
      <c r="AF49" s="518"/>
      <c r="AG49" s="119"/>
      <c r="AH49" s="119"/>
      <c r="AI49" s="531"/>
      <c r="AJ49" s="532"/>
      <c r="AR49" s="530"/>
      <c r="AS49" s="518"/>
      <c r="AT49" s="518"/>
      <c r="AU49" s="119"/>
      <c r="AV49" s="119"/>
      <c r="AW49" s="531"/>
      <c r="AX49" s="532"/>
      <c r="BF49" s="530"/>
      <c r="BG49" s="518"/>
      <c r="BH49" s="518"/>
      <c r="BI49" s="119"/>
      <c r="BJ49" s="119"/>
      <c r="BK49" s="531"/>
      <c r="BL49" s="532"/>
      <c r="BT49" s="530"/>
      <c r="BU49" s="518"/>
      <c r="BV49" s="518"/>
      <c r="BW49" s="119"/>
      <c r="BX49" s="119"/>
      <c r="BY49" s="531"/>
      <c r="BZ49" s="532"/>
      <c r="CH49" s="530"/>
      <c r="CI49" s="518"/>
      <c r="CJ49" s="518"/>
      <c r="CK49" s="119"/>
      <c r="CL49" s="119"/>
      <c r="CM49" s="531"/>
      <c r="CN49" s="532"/>
      <c r="CV49" s="530"/>
      <c r="CW49" s="518"/>
      <c r="CX49" s="518"/>
      <c r="CY49" s="119"/>
      <c r="CZ49" s="119"/>
      <c r="DA49" s="531"/>
      <c r="DB49" s="532"/>
      <c r="DJ49" s="530"/>
      <c r="DK49" s="518"/>
      <c r="DL49" s="518"/>
      <c r="DM49" s="119"/>
      <c r="DN49" s="119"/>
      <c r="DO49" s="531"/>
      <c r="DP49" s="532"/>
      <c r="DX49" s="530"/>
      <c r="DY49" s="518"/>
      <c r="DZ49" s="518"/>
      <c r="EA49" s="119"/>
      <c r="EB49" s="119"/>
      <c r="EC49" s="531"/>
      <c r="ED49" s="532"/>
      <c r="EL49" s="530"/>
      <c r="EM49" s="518"/>
      <c r="EN49" s="518"/>
      <c r="EO49" s="119"/>
      <c r="EP49" s="119"/>
      <c r="EQ49" s="531"/>
      <c r="ER49" s="532"/>
      <c r="EZ49" s="530"/>
      <c r="FA49" s="518"/>
      <c r="FB49" s="518"/>
      <c r="FC49" s="119"/>
      <c r="FD49" s="119"/>
      <c r="FE49" s="531"/>
      <c r="FF49" s="532"/>
      <c r="FN49" s="530"/>
      <c r="FO49" s="518"/>
      <c r="FP49" s="518"/>
      <c r="FQ49" s="119"/>
      <c r="FR49" s="119"/>
      <c r="FS49" s="531"/>
      <c r="FT49" s="532"/>
      <c r="GB49" s="530"/>
      <c r="GC49" s="518"/>
      <c r="GD49" s="518"/>
      <c r="GE49" s="119"/>
      <c r="GF49" s="119"/>
      <c r="GG49" s="531"/>
      <c r="GH49" s="532"/>
      <c r="GP49" s="530"/>
      <c r="GQ49" s="518"/>
      <c r="GR49" s="518"/>
      <c r="GS49" s="119"/>
      <c r="GT49" s="119"/>
      <c r="GU49" s="531"/>
      <c r="GV49" s="532"/>
      <c r="HD49" s="530"/>
      <c r="HE49" s="518"/>
      <c r="HF49" s="518"/>
      <c r="HG49" s="119"/>
      <c r="HH49" s="119"/>
      <c r="HI49" s="531"/>
      <c r="HJ49" s="532"/>
      <c r="HR49" s="530"/>
      <c r="HS49" s="518"/>
      <c r="HT49" s="518"/>
      <c r="HU49" s="119"/>
      <c r="HV49" s="119"/>
      <c r="HW49" s="531"/>
      <c r="HX49" s="532"/>
      <c r="IF49" s="530"/>
      <c r="IG49" s="518"/>
      <c r="IH49" s="518"/>
      <c r="II49" s="119"/>
      <c r="IJ49" s="119"/>
      <c r="IK49" s="531"/>
      <c r="IL49" s="532"/>
      <c r="IT49" s="530"/>
      <c r="IU49" s="518"/>
      <c r="IV49" s="518"/>
      <c r="IW49" s="119"/>
      <c r="IX49" s="119"/>
      <c r="IY49" s="531"/>
      <c r="IZ49" s="532"/>
      <c r="JH49" s="530"/>
      <c r="JI49" s="518"/>
      <c r="JJ49" s="518"/>
      <c r="JK49" s="119"/>
      <c r="JL49" s="119"/>
      <c r="JM49" s="531"/>
      <c r="JN49" s="532"/>
      <c r="JV49" s="530"/>
      <c r="JW49" s="518"/>
      <c r="JX49" s="518"/>
      <c r="JY49" s="119"/>
      <c r="JZ49" s="119"/>
      <c r="KA49" s="531"/>
      <c r="KB49" s="532"/>
      <c r="KJ49" s="530"/>
      <c r="KK49" s="518"/>
      <c r="KL49" s="518"/>
      <c r="KM49" s="119"/>
      <c r="KN49" s="119"/>
      <c r="KO49" s="531"/>
      <c r="KP49" s="532"/>
      <c r="KX49" s="530"/>
      <c r="KY49" s="518"/>
      <c r="KZ49" s="518"/>
      <c r="LA49" s="119"/>
      <c r="LB49" s="119"/>
      <c r="LC49" s="531"/>
      <c r="LD49" s="532"/>
      <c r="LL49" s="530"/>
      <c r="LM49" s="518"/>
      <c r="LN49" s="518"/>
      <c r="LO49" s="119"/>
      <c r="LP49" s="119"/>
      <c r="LQ49" s="531"/>
      <c r="LR49" s="532"/>
      <c r="LZ49" s="530"/>
      <c r="MA49" s="518"/>
      <c r="MB49" s="518"/>
      <c r="MC49" s="119"/>
      <c r="MD49" s="119"/>
      <c r="ME49" s="531"/>
      <c r="MF49" s="532"/>
      <c r="MN49" s="530"/>
      <c r="MO49" s="518"/>
      <c r="MP49" s="518"/>
      <c r="MQ49" s="119"/>
      <c r="MR49" s="119"/>
      <c r="MS49" s="531"/>
      <c r="MT49" s="532"/>
      <c r="NB49" s="530"/>
      <c r="NC49" s="518"/>
      <c r="ND49" s="518"/>
      <c r="NE49" s="119"/>
      <c r="NF49" s="119"/>
      <c r="NG49" s="531"/>
      <c r="NH49" s="532"/>
      <c r="NP49" s="530"/>
      <c r="NQ49" s="518"/>
      <c r="NR49" s="518"/>
      <c r="NS49" s="119"/>
      <c r="NT49" s="119"/>
      <c r="NU49" s="531"/>
      <c r="NV49" s="532"/>
      <c r="OD49" s="530"/>
      <c r="OE49" s="518"/>
      <c r="OF49" s="518"/>
      <c r="OG49" s="119"/>
      <c r="OH49" s="119"/>
      <c r="OI49" s="531"/>
      <c r="OJ49" s="532"/>
      <c r="OR49" s="530"/>
      <c r="OS49" s="518"/>
      <c r="OT49" s="518"/>
      <c r="OU49" s="119"/>
      <c r="OV49" s="119"/>
      <c r="OW49" s="531"/>
      <c r="OX49" s="532"/>
      <c r="PF49" s="530"/>
      <c r="PG49" s="518"/>
      <c r="PH49" s="518"/>
      <c r="PI49" s="119"/>
      <c r="PJ49" s="119"/>
      <c r="PK49" s="531"/>
      <c r="PL49" s="532"/>
      <c r="PT49" s="530"/>
      <c r="PU49" s="518"/>
      <c r="PV49" s="518"/>
      <c r="PW49" s="119"/>
      <c r="PX49" s="119"/>
      <c r="PY49" s="531"/>
      <c r="PZ49" s="532"/>
      <c r="QH49" s="530"/>
      <c r="QI49" s="518"/>
      <c r="QJ49" s="518"/>
      <c r="QK49" s="119"/>
      <c r="QL49" s="119"/>
      <c r="QM49" s="531"/>
      <c r="QN49" s="532"/>
      <c r="QV49" s="530"/>
      <c r="QW49" s="518"/>
      <c r="QX49" s="518"/>
      <c r="QY49" s="119"/>
      <c r="QZ49" s="119"/>
      <c r="RA49" s="531"/>
      <c r="RB49" s="532"/>
      <c r="RJ49" s="530"/>
      <c r="RK49" s="518"/>
      <c r="RL49" s="518"/>
      <c r="RM49" s="119"/>
      <c r="RN49" s="119"/>
      <c r="RO49" s="531"/>
      <c r="RP49" s="532"/>
      <c r="RX49" s="530"/>
      <c r="RY49" s="518"/>
      <c r="RZ49" s="518"/>
      <c r="SA49" s="119"/>
      <c r="SB49" s="119"/>
      <c r="SC49" s="531"/>
      <c r="SD49" s="532"/>
      <c r="SL49" s="530"/>
      <c r="SM49" s="518"/>
      <c r="SN49" s="518"/>
      <c r="SO49" s="119"/>
      <c r="SP49" s="119"/>
      <c r="SQ49" s="531"/>
      <c r="SR49" s="532"/>
      <c r="SZ49" s="530"/>
      <c r="TA49" s="518"/>
      <c r="TB49" s="518"/>
      <c r="TC49" s="119"/>
      <c r="TD49" s="119"/>
      <c r="TE49" s="531"/>
      <c r="TF49" s="532"/>
    </row>
    <row r="50" spans="2:532" ht="15.75" customHeight="1" thickBot="1">
      <c r="B50" s="1201" t="s">
        <v>2332</v>
      </c>
      <c r="C50" s="1202"/>
      <c r="D50" s="1202"/>
      <c r="E50" s="112"/>
      <c r="F50" s="113"/>
      <c r="G50" s="113"/>
      <c r="H50" s="464">
        <f>+H43+H48</f>
        <v>2899708917.0897164</v>
      </c>
      <c r="I50" s="135"/>
      <c r="P50" s="1201" t="s">
        <v>2332</v>
      </c>
      <c r="Q50" s="1202"/>
      <c r="R50" s="1202"/>
      <c r="S50" s="112"/>
      <c r="T50" s="113"/>
      <c r="U50" s="113"/>
      <c r="V50" s="464">
        <f t="shared" ref="V50" si="1230">+V43+V48</f>
        <v>681793999.62353098</v>
      </c>
      <c r="W50" s="135"/>
      <c r="AD50" s="1201" t="s">
        <v>2332</v>
      </c>
      <c r="AE50" s="1202"/>
      <c r="AF50" s="1202"/>
      <c r="AG50" s="112"/>
      <c r="AH50" s="113"/>
      <c r="AI50" s="113"/>
      <c r="AJ50" s="464">
        <f t="shared" ref="AJ50" si="1231">+AJ43+AJ48</f>
        <v>3581502916.7132468</v>
      </c>
      <c r="AK50" s="135"/>
      <c r="AR50" s="1201" t="s">
        <v>2332</v>
      </c>
      <c r="AS50" s="1202"/>
      <c r="AT50" s="1202"/>
      <c r="AU50" s="112"/>
      <c r="AV50" s="113"/>
      <c r="AW50" s="113"/>
      <c r="AX50" s="464">
        <f t="shared" ref="AX50" si="1232">+AX43+AX48</f>
        <v>1034056098.8640171</v>
      </c>
      <c r="AY50" s="135"/>
      <c r="BF50" s="1201" t="s">
        <v>2332</v>
      </c>
      <c r="BG50" s="1202"/>
      <c r="BH50" s="1202"/>
      <c r="BI50" s="112"/>
      <c r="BJ50" s="113"/>
      <c r="BK50" s="113"/>
      <c r="BL50" s="464">
        <f t="shared" ref="BL50" si="1233">+BL43+BL48</f>
        <v>1483481397.140085</v>
      </c>
      <c r="BM50" s="135"/>
      <c r="BT50" s="1201" t="s">
        <v>2332</v>
      </c>
      <c r="BU50" s="1202"/>
      <c r="BV50" s="1202"/>
      <c r="BW50" s="112"/>
      <c r="BX50" s="113"/>
      <c r="BY50" s="113"/>
      <c r="BZ50" s="464">
        <f t="shared" ref="BZ50:ED50" si="1234">+BZ43+BZ48</f>
        <v>1269145094.5211041</v>
      </c>
      <c r="CA50" s="135"/>
      <c r="CH50" s="1201" t="s">
        <v>2332</v>
      </c>
      <c r="CI50" s="1202"/>
      <c r="CJ50" s="1202"/>
      <c r="CK50" s="112"/>
      <c r="CL50" s="113"/>
      <c r="CM50" s="113"/>
      <c r="CN50" s="464">
        <f t="shared" si="1234"/>
        <v>1268615004.6265423</v>
      </c>
      <c r="CO50" s="135"/>
      <c r="CV50" s="1201" t="s">
        <v>2332</v>
      </c>
      <c r="CW50" s="1202"/>
      <c r="CX50" s="1202"/>
      <c r="CY50" s="112"/>
      <c r="CZ50" s="113"/>
      <c r="DA50" s="113"/>
      <c r="DB50" s="464">
        <f t="shared" si="1234"/>
        <v>695835151.5384227</v>
      </c>
      <c r="DC50" s="135"/>
      <c r="DJ50" s="1201" t="s">
        <v>2332</v>
      </c>
      <c r="DK50" s="1202"/>
      <c r="DL50" s="1202"/>
      <c r="DM50" s="112"/>
      <c r="DN50" s="113"/>
      <c r="DO50" s="113"/>
      <c r="DP50" s="464">
        <f t="shared" si="1234"/>
        <v>1414625548.6850176</v>
      </c>
      <c r="DQ50" s="135"/>
      <c r="DX50" s="1201" t="s">
        <v>2332</v>
      </c>
      <c r="DY50" s="1202"/>
      <c r="DZ50" s="1202"/>
      <c r="EA50" s="112"/>
      <c r="EB50" s="113"/>
      <c r="EC50" s="113"/>
      <c r="ED50" s="464">
        <f t="shared" si="1234"/>
        <v>1016079086.9329745</v>
      </c>
      <c r="EE50" s="135"/>
      <c r="EL50" s="1201" t="s">
        <v>2332</v>
      </c>
      <c r="EM50" s="1202"/>
      <c r="EN50" s="1202"/>
      <c r="EO50" s="112"/>
      <c r="EP50" s="113"/>
      <c r="EQ50" s="113"/>
      <c r="ER50" s="464">
        <f t="shared" ref="ER50:GV50" si="1235">+ER43+ER48</f>
        <v>1447527373.2779992</v>
      </c>
      <c r="ES50" s="135"/>
      <c r="EZ50" s="1201" t="s">
        <v>2332</v>
      </c>
      <c r="FA50" s="1202"/>
      <c r="FB50" s="1202"/>
      <c r="FC50" s="112"/>
      <c r="FD50" s="113"/>
      <c r="FE50" s="113"/>
      <c r="FF50" s="464">
        <f t="shared" si="1235"/>
        <v>1557118356.8376191</v>
      </c>
      <c r="FG50" s="135"/>
      <c r="FN50" s="1201" t="s">
        <v>2332</v>
      </c>
      <c r="FO50" s="1202"/>
      <c r="FP50" s="1202"/>
      <c r="FQ50" s="112"/>
      <c r="FR50" s="113"/>
      <c r="FS50" s="113"/>
      <c r="FT50" s="464">
        <f t="shared" si="1235"/>
        <v>1132929664.4847522</v>
      </c>
      <c r="FU50" s="135"/>
      <c r="GB50" s="1201" t="s">
        <v>2332</v>
      </c>
      <c r="GC50" s="1202"/>
      <c r="GD50" s="1202"/>
      <c r="GE50" s="112"/>
      <c r="GF50" s="113"/>
      <c r="GG50" s="113"/>
      <c r="GH50" s="464">
        <f t="shared" si="1235"/>
        <v>875896954.02383947</v>
      </c>
      <c r="GI50" s="135"/>
      <c r="GP50" s="1201" t="s">
        <v>2332</v>
      </c>
      <c r="GQ50" s="1202"/>
      <c r="GR50" s="1202"/>
      <c r="GS50" s="112"/>
      <c r="GT50" s="113"/>
      <c r="GU50" s="113"/>
      <c r="GV50" s="464">
        <f t="shared" si="1235"/>
        <v>547870783.25170708</v>
      </c>
      <c r="GW50" s="135"/>
      <c r="HD50" s="1201" t="s">
        <v>2332</v>
      </c>
      <c r="HE50" s="1202"/>
      <c r="HF50" s="1202"/>
      <c r="HG50" s="112"/>
      <c r="HH50" s="113"/>
      <c r="HI50" s="113"/>
      <c r="HJ50" s="464">
        <f t="shared" ref="HJ50:KB50" si="1236">+HJ43+HJ48</f>
        <v>1759972433.7871318</v>
      </c>
      <c r="HK50" s="135"/>
      <c r="HR50" s="1201" t="s">
        <v>2332</v>
      </c>
      <c r="HS50" s="1202"/>
      <c r="HT50" s="1202"/>
      <c r="HU50" s="112"/>
      <c r="HV50" s="113"/>
      <c r="HW50" s="113"/>
      <c r="HX50" s="464">
        <f t="shared" si="1236"/>
        <v>618188157.12051809</v>
      </c>
      <c r="HY50" s="135"/>
      <c r="IF50" s="1201" t="s">
        <v>2332</v>
      </c>
      <c r="IG50" s="1202"/>
      <c r="IH50" s="1202"/>
      <c r="II50" s="112"/>
      <c r="IJ50" s="113"/>
      <c r="IK50" s="113"/>
      <c r="IL50" s="464">
        <f t="shared" si="1236"/>
        <v>415814188.43207771</v>
      </c>
      <c r="IM50" s="135"/>
      <c r="IT50" s="1201" t="s">
        <v>2332</v>
      </c>
      <c r="IU50" s="1202"/>
      <c r="IV50" s="1202"/>
      <c r="IW50" s="112"/>
      <c r="IX50" s="113"/>
      <c r="IY50" s="113"/>
      <c r="IZ50" s="464">
        <f t="shared" si="1236"/>
        <v>2585705557.9030967</v>
      </c>
      <c r="JA50" s="135"/>
      <c r="JH50" s="1201" t="s">
        <v>2332</v>
      </c>
      <c r="JI50" s="1202"/>
      <c r="JJ50" s="1202"/>
      <c r="JK50" s="112"/>
      <c r="JL50" s="113"/>
      <c r="JM50" s="113"/>
      <c r="JN50" s="464">
        <f t="shared" ref="JN50" si="1237">+JN43+JN48</f>
        <v>3001519746.3351741</v>
      </c>
      <c r="JO50" s="135"/>
      <c r="JV50" s="1201" t="s">
        <v>2332</v>
      </c>
      <c r="JW50" s="1202"/>
      <c r="JX50" s="1202"/>
      <c r="JY50" s="112"/>
      <c r="JZ50" s="113"/>
      <c r="KA50" s="113"/>
      <c r="KB50" s="464">
        <f t="shared" si="1236"/>
        <v>871184862.91139209</v>
      </c>
      <c r="KC50" s="135"/>
      <c r="KJ50" s="1201" t="s">
        <v>2332</v>
      </c>
      <c r="KK50" s="1202"/>
      <c r="KL50" s="1202"/>
      <c r="KM50" s="112"/>
      <c r="KN50" s="113"/>
      <c r="KO50" s="113"/>
      <c r="KP50" s="464">
        <f t="shared" ref="KP50:MT50" si="1238">+KP43+KP48</f>
        <v>523863907.113415</v>
      </c>
      <c r="KQ50" s="135"/>
      <c r="KX50" s="1201" t="s">
        <v>2332</v>
      </c>
      <c r="KY50" s="1202"/>
      <c r="KZ50" s="1202"/>
      <c r="LA50" s="112"/>
      <c r="LB50" s="113"/>
      <c r="LC50" s="113"/>
      <c r="LD50" s="464">
        <f t="shared" si="1238"/>
        <v>426148465.48317182</v>
      </c>
      <c r="LE50" s="135"/>
      <c r="LL50" s="1201" t="s">
        <v>2332</v>
      </c>
      <c r="LM50" s="1202"/>
      <c r="LN50" s="1202"/>
      <c r="LO50" s="112"/>
      <c r="LP50" s="113"/>
      <c r="LQ50" s="113"/>
      <c r="LR50" s="464">
        <f t="shared" si="1238"/>
        <v>1114952652.5537093</v>
      </c>
      <c r="LS50" s="135"/>
      <c r="LZ50" s="1201" t="s">
        <v>2332</v>
      </c>
      <c r="MA50" s="1202"/>
      <c r="MB50" s="1202"/>
      <c r="MC50" s="112"/>
      <c r="MD50" s="113"/>
      <c r="ME50" s="113"/>
      <c r="MF50" s="464">
        <f t="shared" si="1238"/>
        <v>1105964146.5881879</v>
      </c>
      <c r="MG50" s="135"/>
      <c r="MN50" s="1201" t="s">
        <v>2332</v>
      </c>
      <c r="MO50" s="1202"/>
      <c r="MP50" s="1202"/>
      <c r="MQ50" s="112"/>
      <c r="MR50" s="113"/>
      <c r="MS50" s="113"/>
      <c r="MT50" s="464">
        <f t="shared" si="1238"/>
        <v>1131702591.1048517</v>
      </c>
      <c r="MU50" s="135"/>
      <c r="NB50" s="1201" t="s">
        <v>2332</v>
      </c>
      <c r="NC50" s="1202"/>
      <c r="ND50" s="1202"/>
      <c r="NE50" s="112"/>
      <c r="NF50" s="113"/>
      <c r="NG50" s="113"/>
      <c r="NH50" s="464">
        <f t="shared" ref="NH50:PL50" si="1239">+NH43+NH48</f>
        <v>2165852011.0436506</v>
      </c>
      <c r="NI50" s="135"/>
      <c r="NP50" s="1201" t="s">
        <v>2332</v>
      </c>
      <c r="NQ50" s="1202"/>
      <c r="NR50" s="1202"/>
      <c r="NS50" s="112"/>
      <c r="NT50" s="113"/>
      <c r="NU50" s="113"/>
      <c r="NV50" s="464">
        <f t="shared" si="1239"/>
        <v>344778530.16281235</v>
      </c>
      <c r="NW50" s="135"/>
      <c r="OD50" s="1201" t="s">
        <v>2332</v>
      </c>
      <c r="OE50" s="1202"/>
      <c r="OF50" s="1202"/>
      <c r="OG50" s="112"/>
      <c r="OH50" s="113"/>
      <c r="OI50" s="113"/>
      <c r="OJ50" s="464">
        <f t="shared" si="1239"/>
        <v>449343150.27764904</v>
      </c>
      <c r="OK50" s="135"/>
      <c r="OR50" s="1201" t="s">
        <v>2332</v>
      </c>
      <c r="OS50" s="1202"/>
      <c r="OT50" s="1202"/>
      <c r="OU50" s="112"/>
      <c r="OV50" s="113"/>
      <c r="OW50" s="113"/>
      <c r="OX50" s="464">
        <f t="shared" si="1239"/>
        <v>567693658.18857145</v>
      </c>
      <c r="OY50" s="135"/>
      <c r="PF50" s="1201" t="s">
        <v>2332</v>
      </c>
      <c r="PG50" s="1202"/>
      <c r="PH50" s="1202"/>
      <c r="PI50" s="112"/>
      <c r="PJ50" s="113"/>
      <c r="PK50" s="113"/>
      <c r="PL50" s="464">
        <f t="shared" si="1239"/>
        <v>144362242.68843198</v>
      </c>
      <c r="PM50" s="135"/>
      <c r="PT50" s="1201" t="s">
        <v>2332</v>
      </c>
      <c r="PU50" s="1202"/>
      <c r="PV50" s="1202"/>
      <c r="PW50" s="112"/>
      <c r="PX50" s="113"/>
      <c r="PY50" s="113"/>
      <c r="PZ50" s="464">
        <f t="shared" ref="PZ50:SD50" si="1240">+PZ43+PZ48</f>
        <v>222786007.35231993</v>
      </c>
      <c r="QA50" s="135"/>
      <c r="QH50" s="1201" t="s">
        <v>2332</v>
      </c>
      <c r="QI50" s="1202"/>
      <c r="QJ50" s="1202"/>
      <c r="QK50" s="112"/>
      <c r="QL50" s="113"/>
      <c r="QM50" s="113"/>
      <c r="QN50" s="464">
        <f t="shared" si="1240"/>
        <v>83365981.283185795</v>
      </c>
      <c r="QO50" s="135"/>
      <c r="QV50" s="1201" t="s">
        <v>2332</v>
      </c>
      <c r="QW50" s="1202"/>
      <c r="QX50" s="1202"/>
      <c r="QY50" s="112"/>
      <c r="QZ50" s="113"/>
      <c r="RA50" s="113"/>
      <c r="RB50" s="464">
        <f t="shared" si="1240"/>
        <v>187931000.8350364</v>
      </c>
      <c r="RC50" s="135"/>
      <c r="RJ50" s="1201" t="s">
        <v>2332</v>
      </c>
      <c r="RK50" s="1202"/>
      <c r="RL50" s="1202"/>
      <c r="RM50" s="112"/>
      <c r="RN50" s="113"/>
      <c r="RO50" s="113"/>
      <c r="RP50" s="464">
        <f t="shared" si="1240"/>
        <v>83589949.091347456</v>
      </c>
      <c r="RQ50" s="135"/>
      <c r="RX50" s="1201" t="s">
        <v>2332</v>
      </c>
      <c r="RY50" s="1202"/>
      <c r="RZ50" s="1202"/>
      <c r="SA50" s="112"/>
      <c r="SB50" s="113"/>
      <c r="SC50" s="113"/>
      <c r="SD50" s="464">
        <f t="shared" si="1240"/>
        <v>126934739.42979021</v>
      </c>
      <c r="SE50" s="135"/>
      <c r="SL50" s="1201" t="s">
        <v>2332</v>
      </c>
      <c r="SM50" s="1202"/>
      <c r="SN50" s="1202"/>
      <c r="SO50" s="112"/>
      <c r="SP50" s="113"/>
      <c r="SQ50" s="113"/>
      <c r="SR50" s="464">
        <f t="shared" ref="SR50" si="1241">+SR43+SR48</f>
        <v>0</v>
      </c>
      <c r="SS50" s="135"/>
      <c r="SZ50" s="1201" t="s">
        <v>2332</v>
      </c>
      <c r="TA50" s="1202"/>
      <c r="TB50" s="1202"/>
      <c r="TC50" s="112"/>
      <c r="TD50" s="113"/>
      <c r="TE50" s="113"/>
      <c r="TF50" s="464">
        <f t="shared" ref="TF50" si="1242">+TF43+TF48</f>
        <v>32254817664.247673</v>
      </c>
      <c r="TG50" s="135"/>
    </row>
    <row r="51" spans="2:532" ht="18.75" customHeight="1" thickBot="1"/>
    <row r="52" spans="2:532" ht="30.75" thickBot="1">
      <c r="B52" s="520" t="s">
        <v>1232</v>
      </c>
      <c r="C52" s="473" t="s">
        <v>1219</v>
      </c>
      <c r="D52" s="474" t="s">
        <v>1220</v>
      </c>
      <c r="E52" s="475" t="s">
        <v>1221</v>
      </c>
      <c r="F52" s="475" t="s">
        <v>1222</v>
      </c>
      <c r="G52" s="476" t="s">
        <v>1230</v>
      </c>
      <c r="H52" s="477" t="s">
        <v>1207</v>
      </c>
      <c r="I52" s="136"/>
      <c r="P52" s="520" t="s">
        <v>1232</v>
      </c>
      <c r="Q52" s="473" t="s">
        <v>1219</v>
      </c>
      <c r="R52" s="474" t="s">
        <v>1220</v>
      </c>
      <c r="S52" s="475" t="s">
        <v>1221</v>
      </c>
      <c r="T52" s="475" t="s">
        <v>1222</v>
      </c>
      <c r="U52" s="476" t="s">
        <v>1230</v>
      </c>
      <c r="V52" s="477" t="s">
        <v>1207</v>
      </c>
      <c r="W52" s="136"/>
      <c r="AD52" s="520" t="s">
        <v>1232</v>
      </c>
      <c r="AE52" s="473" t="s">
        <v>1219</v>
      </c>
      <c r="AF52" s="474" t="s">
        <v>1220</v>
      </c>
      <c r="AG52" s="475" t="s">
        <v>1221</v>
      </c>
      <c r="AH52" s="475" t="s">
        <v>1222</v>
      </c>
      <c r="AI52" s="476" t="s">
        <v>1230</v>
      </c>
      <c r="AJ52" s="477" t="s">
        <v>1207</v>
      </c>
      <c r="AK52" s="136"/>
      <c r="AR52" s="520" t="s">
        <v>1232</v>
      </c>
      <c r="AS52" s="473" t="s">
        <v>1219</v>
      </c>
      <c r="AT52" s="474" t="s">
        <v>1220</v>
      </c>
      <c r="AU52" s="475" t="s">
        <v>1221</v>
      </c>
      <c r="AV52" s="475" t="s">
        <v>1222</v>
      </c>
      <c r="AW52" s="476" t="s">
        <v>1230</v>
      </c>
      <c r="AX52" s="477" t="s">
        <v>1207</v>
      </c>
      <c r="AY52" s="136"/>
      <c r="BF52" s="520" t="s">
        <v>1232</v>
      </c>
      <c r="BG52" s="473" t="s">
        <v>1219</v>
      </c>
      <c r="BH52" s="474" t="s">
        <v>1220</v>
      </c>
      <c r="BI52" s="475" t="s">
        <v>1221</v>
      </c>
      <c r="BJ52" s="475" t="s">
        <v>1222</v>
      </c>
      <c r="BK52" s="476" t="s">
        <v>1230</v>
      </c>
      <c r="BL52" s="477" t="s">
        <v>1207</v>
      </c>
      <c r="BM52" s="136"/>
      <c r="BT52" s="520" t="s">
        <v>1232</v>
      </c>
      <c r="BU52" s="473" t="s">
        <v>1219</v>
      </c>
      <c r="BV52" s="474" t="s">
        <v>1220</v>
      </c>
      <c r="BW52" s="475" t="s">
        <v>1221</v>
      </c>
      <c r="BX52" s="475" t="s">
        <v>1222</v>
      </c>
      <c r="BY52" s="476" t="s">
        <v>1230</v>
      </c>
      <c r="BZ52" s="477" t="s">
        <v>1207</v>
      </c>
      <c r="CA52" s="136"/>
      <c r="CH52" s="520" t="s">
        <v>1232</v>
      </c>
      <c r="CI52" s="473" t="s">
        <v>1219</v>
      </c>
      <c r="CJ52" s="474" t="s">
        <v>1220</v>
      </c>
      <c r="CK52" s="475" t="s">
        <v>1221</v>
      </c>
      <c r="CL52" s="475" t="s">
        <v>1222</v>
      </c>
      <c r="CM52" s="476" t="s">
        <v>1230</v>
      </c>
      <c r="CN52" s="477" t="s">
        <v>1207</v>
      </c>
      <c r="CO52" s="136"/>
      <c r="CV52" s="520" t="s">
        <v>1232</v>
      </c>
      <c r="CW52" s="473" t="s">
        <v>1219</v>
      </c>
      <c r="CX52" s="474" t="s">
        <v>1220</v>
      </c>
      <c r="CY52" s="475" t="s">
        <v>1221</v>
      </c>
      <c r="CZ52" s="475" t="s">
        <v>1222</v>
      </c>
      <c r="DA52" s="476" t="s">
        <v>1230</v>
      </c>
      <c r="DB52" s="477" t="s">
        <v>1207</v>
      </c>
      <c r="DC52" s="136"/>
      <c r="DJ52" s="520" t="s">
        <v>1232</v>
      </c>
      <c r="DK52" s="473" t="s">
        <v>1219</v>
      </c>
      <c r="DL52" s="474" t="s">
        <v>1220</v>
      </c>
      <c r="DM52" s="475" t="s">
        <v>1221</v>
      </c>
      <c r="DN52" s="475" t="s">
        <v>1222</v>
      </c>
      <c r="DO52" s="476" t="s">
        <v>1230</v>
      </c>
      <c r="DP52" s="477" t="s">
        <v>1207</v>
      </c>
      <c r="DQ52" s="136"/>
      <c r="DX52" s="520" t="s">
        <v>1232</v>
      </c>
      <c r="DY52" s="473" t="s">
        <v>1219</v>
      </c>
      <c r="DZ52" s="474" t="s">
        <v>1220</v>
      </c>
      <c r="EA52" s="475" t="s">
        <v>1221</v>
      </c>
      <c r="EB52" s="475" t="s">
        <v>1222</v>
      </c>
      <c r="EC52" s="476" t="s">
        <v>1230</v>
      </c>
      <c r="ED52" s="477" t="s">
        <v>1207</v>
      </c>
      <c r="EE52" s="136"/>
      <c r="EL52" s="520" t="s">
        <v>1232</v>
      </c>
      <c r="EM52" s="473" t="s">
        <v>1219</v>
      </c>
      <c r="EN52" s="474" t="s">
        <v>1220</v>
      </c>
      <c r="EO52" s="475" t="s">
        <v>1221</v>
      </c>
      <c r="EP52" s="475" t="s">
        <v>1222</v>
      </c>
      <c r="EQ52" s="476" t="s">
        <v>1230</v>
      </c>
      <c r="ER52" s="477" t="s">
        <v>1207</v>
      </c>
      <c r="ES52" s="136"/>
      <c r="EZ52" s="520" t="s">
        <v>1232</v>
      </c>
      <c r="FA52" s="473" t="s">
        <v>1219</v>
      </c>
      <c r="FB52" s="474" t="s">
        <v>1220</v>
      </c>
      <c r="FC52" s="475" t="s">
        <v>1221</v>
      </c>
      <c r="FD52" s="475" t="s">
        <v>1222</v>
      </c>
      <c r="FE52" s="476" t="s">
        <v>1230</v>
      </c>
      <c r="FF52" s="477" t="s">
        <v>1207</v>
      </c>
      <c r="FG52" s="136"/>
      <c r="FN52" s="520" t="s">
        <v>1232</v>
      </c>
      <c r="FO52" s="473" t="s">
        <v>1219</v>
      </c>
      <c r="FP52" s="474" t="s">
        <v>1220</v>
      </c>
      <c r="FQ52" s="475" t="s">
        <v>1221</v>
      </c>
      <c r="FR52" s="475" t="s">
        <v>1222</v>
      </c>
      <c r="FS52" s="476" t="s">
        <v>1230</v>
      </c>
      <c r="FT52" s="477" t="s">
        <v>1207</v>
      </c>
      <c r="FU52" s="136"/>
      <c r="GB52" s="520" t="s">
        <v>1232</v>
      </c>
      <c r="GC52" s="473" t="s">
        <v>1219</v>
      </c>
      <c r="GD52" s="474" t="s">
        <v>1220</v>
      </c>
      <c r="GE52" s="475" t="s">
        <v>1221</v>
      </c>
      <c r="GF52" s="475" t="s">
        <v>1222</v>
      </c>
      <c r="GG52" s="476" t="s">
        <v>1230</v>
      </c>
      <c r="GH52" s="477" t="s">
        <v>1207</v>
      </c>
      <c r="GI52" s="136"/>
      <c r="GP52" s="520" t="s">
        <v>1232</v>
      </c>
      <c r="GQ52" s="473" t="s">
        <v>1219</v>
      </c>
      <c r="GR52" s="474" t="s">
        <v>1220</v>
      </c>
      <c r="GS52" s="475" t="s">
        <v>1221</v>
      </c>
      <c r="GT52" s="475" t="s">
        <v>1222</v>
      </c>
      <c r="GU52" s="476" t="s">
        <v>1230</v>
      </c>
      <c r="GV52" s="477" t="s">
        <v>1207</v>
      </c>
      <c r="GW52" s="136"/>
      <c r="HD52" s="520" t="s">
        <v>1232</v>
      </c>
      <c r="HE52" s="473" t="s">
        <v>1219</v>
      </c>
      <c r="HF52" s="474" t="s">
        <v>1220</v>
      </c>
      <c r="HG52" s="475" t="s">
        <v>1221</v>
      </c>
      <c r="HH52" s="475" t="s">
        <v>1222</v>
      </c>
      <c r="HI52" s="476" t="s">
        <v>1230</v>
      </c>
      <c r="HJ52" s="477" t="s">
        <v>1207</v>
      </c>
      <c r="HK52" s="136"/>
      <c r="HR52" s="520" t="s">
        <v>1232</v>
      </c>
      <c r="HS52" s="473" t="s">
        <v>1219</v>
      </c>
      <c r="HT52" s="474" t="s">
        <v>1220</v>
      </c>
      <c r="HU52" s="475" t="s">
        <v>1221</v>
      </c>
      <c r="HV52" s="475" t="s">
        <v>1222</v>
      </c>
      <c r="HW52" s="476" t="s">
        <v>1230</v>
      </c>
      <c r="HX52" s="477" t="s">
        <v>1207</v>
      </c>
      <c r="HY52" s="136"/>
      <c r="IF52" s="520" t="s">
        <v>1232</v>
      </c>
      <c r="IG52" s="473" t="s">
        <v>1219</v>
      </c>
      <c r="IH52" s="474" t="s">
        <v>1220</v>
      </c>
      <c r="II52" s="475" t="s">
        <v>1221</v>
      </c>
      <c r="IJ52" s="475" t="s">
        <v>1222</v>
      </c>
      <c r="IK52" s="476" t="s">
        <v>1230</v>
      </c>
      <c r="IL52" s="477" t="s">
        <v>1207</v>
      </c>
      <c r="IM52" s="136"/>
      <c r="IT52" s="520" t="s">
        <v>1232</v>
      </c>
      <c r="IU52" s="473" t="s">
        <v>1219</v>
      </c>
      <c r="IV52" s="474" t="s">
        <v>1220</v>
      </c>
      <c r="IW52" s="475" t="s">
        <v>1221</v>
      </c>
      <c r="IX52" s="475" t="s">
        <v>1222</v>
      </c>
      <c r="IY52" s="476" t="s">
        <v>1230</v>
      </c>
      <c r="IZ52" s="477" t="s">
        <v>1207</v>
      </c>
      <c r="JA52" s="136"/>
      <c r="JH52" s="520" t="s">
        <v>1232</v>
      </c>
      <c r="JI52" s="473" t="s">
        <v>1219</v>
      </c>
      <c r="JJ52" s="474" t="s">
        <v>1220</v>
      </c>
      <c r="JK52" s="475" t="s">
        <v>1221</v>
      </c>
      <c r="JL52" s="475" t="s">
        <v>1222</v>
      </c>
      <c r="JM52" s="476" t="s">
        <v>1230</v>
      </c>
      <c r="JN52" s="477" t="s">
        <v>1207</v>
      </c>
      <c r="JO52" s="136"/>
      <c r="JV52" s="520" t="s">
        <v>1232</v>
      </c>
      <c r="JW52" s="473" t="s">
        <v>1219</v>
      </c>
      <c r="JX52" s="474" t="s">
        <v>1220</v>
      </c>
      <c r="JY52" s="475" t="s">
        <v>1221</v>
      </c>
      <c r="JZ52" s="475" t="s">
        <v>1222</v>
      </c>
      <c r="KA52" s="476" t="s">
        <v>1230</v>
      </c>
      <c r="KB52" s="477" t="s">
        <v>1207</v>
      </c>
      <c r="KC52" s="136"/>
      <c r="KJ52" s="520" t="s">
        <v>1232</v>
      </c>
      <c r="KK52" s="473" t="s">
        <v>1219</v>
      </c>
      <c r="KL52" s="474" t="s">
        <v>1220</v>
      </c>
      <c r="KM52" s="475" t="s">
        <v>1221</v>
      </c>
      <c r="KN52" s="475" t="s">
        <v>1222</v>
      </c>
      <c r="KO52" s="476" t="s">
        <v>1230</v>
      </c>
      <c r="KP52" s="477" t="s">
        <v>1207</v>
      </c>
      <c r="KQ52" s="136"/>
      <c r="KX52" s="520" t="s">
        <v>1232</v>
      </c>
      <c r="KY52" s="473" t="s">
        <v>1219</v>
      </c>
      <c r="KZ52" s="474" t="s">
        <v>1220</v>
      </c>
      <c r="LA52" s="475" t="s">
        <v>1221</v>
      </c>
      <c r="LB52" s="475" t="s">
        <v>1222</v>
      </c>
      <c r="LC52" s="476" t="s">
        <v>1230</v>
      </c>
      <c r="LD52" s="477" t="s">
        <v>1207</v>
      </c>
      <c r="LE52" s="136"/>
      <c r="LL52" s="520" t="s">
        <v>1232</v>
      </c>
      <c r="LM52" s="473" t="s">
        <v>1219</v>
      </c>
      <c r="LN52" s="474" t="s">
        <v>1220</v>
      </c>
      <c r="LO52" s="475" t="s">
        <v>1221</v>
      </c>
      <c r="LP52" s="475" t="s">
        <v>1222</v>
      </c>
      <c r="LQ52" s="476" t="s">
        <v>1230</v>
      </c>
      <c r="LR52" s="477" t="s">
        <v>1207</v>
      </c>
      <c r="LS52" s="136"/>
      <c r="LZ52" s="520" t="s">
        <v>1232</v>
      </c>
      <c r="MA52" s="473" t="s">
        <v>1219</v>
      </c>
      <c r="MB52" s="474" t="s">
        <v>1220</v>
      </c>
      <c r="MC52" s="475" t="s">
        <v>1221</v>
      </c>
      <c r="MD52" s="475" t="s">
        <v>1222</v>
      </c>
      <c r="ME52" s="476" t="s">
        <v>1230</v>
      </c>
      <c r="MF52" s="477" t="s">
        <v>1207</v>
      </c>
      <c r="MG52" s="136"/>
      <c r="MN52" s="520" t="s">
        <v>1232</v>
      </c>
      <c r="MO52" s="473" t="s">
        <v>1219</v>
      </c>
      <c r="MP52" s="474" t="s">
        <v>1220</v>
      </c>
      <c r="MQ52" s="475" t="s">
        <v>1221</v>
      </c>
      <c r="MR52" s="475" t="s">
        <v>1222</v>
      </c>
      <c r="MS52" s="476" t="s">
        <v>1230</v>
      </c>
      <c r="MT52" s="477" t="s">
        <v>1207</v>
      </c>
      <c r="MU52" s="136"/>
      <c r="NB52" s="520" t="s">
        <v>1232</v>
      </c>
      <c r="NC52" s="473" t="s">
        <v>1219</v>
      </c>
      <c r="ND52" s="474" t="s">
        <v>1220</v>
      </c>
      <c r="NE52" s="475" t="s">
        <v>1221</v>
      </c>
      <c r="NF52" s="475" t="s">
        <v>1222</v>
      </c>
      <c r="NG52" s="476" t="s">
        <v>1230</v>
      </c>
      <c r="NH52" s="477" t="s">
        <v>1207</v>
      </c>
      <c r="NI52" s="136"/>
      <c r="NP52" s="520" t="s">
        <v>1232</v>
      </c>
      <c r="NQ52" s="473" t="s">
        <v>1219</v>
      </c>
      <c r="NR52" s="474" t="s">
        <v>1220</v>
      </c>
      <c r="NS52" s="475" t="s">
        <v>1221</v>
      </c>
      <c r="NT52" s="475" t="s">
        <v>1222</v>
      </c>
      <c r="NU52" s="476" t="s">
        <v>1230</v>
      </c>
      <c r="NV52" s="477" t="s">
        <v>1207</v>
      </c>
      <c r="NW52" s="136"/>
      <c r="OD52" s="520" t="s">
        <v>1232</v>
      </c>
      <c r="OE52" s="473" t="s">
        <v>1219</v>
      </c>
      <c r="OF52" s="474" t="s">
        <v>1220</v>
      </c>
      <c r="OG52" s="475" t="s">
        <v>1221</v>
      </c>
      <c r="OH52" s="475" t="s">
        <v>1222</v>
      </c>
      <c r="OI52" s="476" t="s">
        <v>1230</v>
      </c>
      <c r="OJ52" s="477" t="s">
        <v>1207</v>
      </c>
      <c r="OK52" s="136"/>
      <c r="OR52" s="520" t="s">
        <v>1232</v>
      </c>
      <c r="OS52" s="473" t="s">
        <v>1219</v>
      </c>
      <c r="OT52" s="474" t="s">
        <v>1220</v>
      </c>
      <c r="OU52" s="475" t="s">
        <v>1221</v>
      </c>
      <c r="OV52" s="475" t="s">
        <v>1222</v>
      </c>
      <c r="OW52" s="476" t="s">
        <v>1230</v>
      </c>
      <c r="OX52" s="477" t="s">
        <v>1207</v>
      </c>
      <c r="OY52" s="136"/>
      <c r="PF52" s="520" t="s">
        <v>1232</v>
      </c>
      <c r="PG52" s="473" t="s">
        <v>1219</v>
      </c>
      <c r="PH52" s="474" t="s">
        <v>1220</v>
      </c>
      <c r="PI52" s="475" t="s">
        <v>1221</v>
      </c>
      <c r="PJ52" s="475" t="s">
        <v>1222</v>
      </c>
      <c r="PK52" s="476" t="s">
        <v>1230</v>
      </c>
      <c r="PL52" s="477" t="s">
        <v>1207</v>
      </c>
      <c r="PM52" s="136"/>
      <c r="PT52" s="520" t="s">
        <v>1232</v>
      </c>
      <c r="PU52" s="473" t="s">
        <v>1219</v>
      </c>
      <c r="PV52" s="474" t="s">
        <v>1220</v>
      </c>
      <c r="PW52" s="475" t="s">
        <v>1221</v>
      </c>
      <c r="PX52" s="475" t="s">
        <v>1222</v>
      </c>
      <c r="PY52" s="476" t="s">
        <v>1230</v>
      </c>
      <c r="PZ52" s="477" t="s">
        <v>1207</v>
      </c>
      <c r="QA52" s="136"/>
      <c r="QH52" s="520" t="s">
        <v>1232</v>
      </c>
      <c r="QI52" s="473" t="s">
        <v>1219</v>
      </c>
      <c r="QJ52" s="474" t="s">
        <v>1220</v>
      </c>
      <c r="QK52" s="475" t="s">
        <v>1221</v>
      </c>
      <c r="QL52" s="475" t="s">
        <v>1222</v>
      </c>
      <c r="QM52" s="476" t="s">
        <v>1230</v>
      </c>
      <c r="QN52" s="477" t="s">
        <v>1207</v>
      </c>
      <c r="QO52" s="136"/>
      <c r="QV52" s="520" t="s">
        <v>1232</v>
      </c>
      <c r="QW52" s="473" t="s">
        <v>1219</v>
      </c>
      <c r="QX52" s="474" t="s">
        <v>1220</v>
      </c>
      <c r="QY52" s="475" t="s">
        <v>1221</v>
      </c>
      <c r="QZ52" s="475" t="s">
        <v>1222</v>
      </c>
      <c r="RA52" s="476" t="s">
        <v>1230</v>
      </c>
      <c r="RB52" s="477" t="s">
        <v>1207</v>
      </c>
      <c r="RC52" s="136"/>
      <c r="RJ52" s="520" t="s">
        <v>1232</v>
      </c>
      <c r="RK52" s="473" t="s">
        <v>1219</v>
      </c>
      <c r="RL52" s="474" t="s">
        <v>1220</v>
      </c>
      <c r="RM52" s="475" t="s">
        <v>1221</v>
      </c>
      <c r="RN52" s="475" t="s">
        <v>1222</v>
      </c>
      <c r="RO52" s="476" t="s">
        <v>1230</v>
      </c>
      <c r="RP52" s="477" t="s">
        <v>1207</v>
      </c>
      <c r="RQ52" s="136"/>
      <c r="RX52" s="520" t="s">
        <v>1232</v>
      </c>
      <c r="RY52" s="473" t="s">
        <v>1219</v>
      </c>
      <c r="RZ52" s="474" t="s">
        <v>1220</v>
      </c>
      <c r="SA52" s="475" t="s">
        <v>1221</v>
      </c>
      <c r="SB52" s="475" t="s">
        <v>1222</v>
      </c>
      <c r="SC52" s="476" t="s">
        <v>1230</v>
      </c>
      <c r="SD52" s="477" t="s">
        <v>1207</v>
      </c>
      <c r="SE52" s="136"/>
      <c r="SL52" s="520" t="s">
        <v>1232</v>
      </c>
      <c r="SM52" s="473" t="s">
        <v>1219</v>
      </c>
      <c r="SN52" s="474" t="s">
        <v>1220</v>
      </c>
      <c r="SO52" s="475" t="s">
        <v>1221</v>
      </c>
      <c r="SP52" s="475" t="s">
        <v>1222</v>
      </c>
      <c r="SQ52" s="476" t="s">
        <v>1230</v>
      </c>
      <c r="SR52" s="477" t="s">
        <v>1207</v>
      </c>
      <c r="SS52" s="136"/>
      <c r="SZ52" s="520" t="s">
        <v>1232</v>
      </c>
      <c r="TA52" s="473" t="s">
        <v>1219</v>
      </c>
      <c r="TB52" s="474" t="s">
        <v>1220</v>
      </c>
      <c r="TC52" s="475" t="s">
        <v>1221</v>
      </c>
      <c r="TD52" s="475" t="s">
        <v>1222</v>
      </c>
      <c r="TE52" s="476" t="s">
        <v>1230</v>
      </c>
      <c r="TF52" s="477" t="s">
        <v>1207</v>
      </c>
      <c r="TG52" s="136"/>
    </row>
    <row r="53" spans="2:532" ht="18.75" customHeight="1">
      <c r="B53" s="1203" t="s">
        <v>1218</v>
      </c>
      <c r="C53" s="467" t="s">
        <v>1223</v>
      </c>
      <c r="D53" s="468">
        <v>0.1</v>
      </c>
      <c r="E53" s="469">
        <f>+D53*H50</f>
        <v>289970891.70897168</v>
      </c>
      <c r="F53" s="470">
        <v>1E-3</v>
      </c>
      <c r="G53" s="471">
        <v>4</v>
      </c>
      <c r="H53" s="472">
        <f>L53</f>
        <v>289970.8917089717</v>
      </c>
      <c r="I53" s="138"/>
      <c r="J53" s="925">
        <f>+F53</f>
        <v>1E-3</v>
      </c>
      <c r="K53" s="925">
        <f>J53*1</f>
        <v>1E-3</v>
      </c>
      <c r="L53" s="926">
        <f>K53*E53</f>
        <v>289970.8917089717</v>
      </c>
      <c r="M53" s="933"/>
      <c r="N53" s="139"/>
      <c r="P53" s="1203" t="s">
        <v>1218</v>
      </c>
      <c r="Q53" s="467" t="s">
        <v>1223</v>
      </c>
      <c r="R53" s="468">
        <v>0.1</v>
      </c>
      <c r="S53" s="469">
        <f>+R53*V50</f>
        <v>68179399.962353095</v>
      </c>
      <c r="T53" s="470">
        <v>1E-3</v>
      </c>
      <c r="U53" s="471">
        <v>4</v>
      </c>
      <c r="V53" s="472">
        <f t="shared" ref="V53:V57" si="1243">Z53</f>
        <v>68179.399962353098</v>
      </c>
      <c r="W53" s="138"/>
      <c r="X53" s="925">
        <f t="shared" ref="X53" si="1244">+T53</f>
        <v>1E-3</v>
      </c>
      <c r="Y53" s="925">
        <f t="shared" ref="Y53" si="1245">X53*1</f>
        <v>1E-3</v>
      </c>
      <c r="Z53" s="926">
        <f t="shared" ref="Z53:Z57" si="1246">Y53*S53</f>
        <v>68179.399962353098</v>
      </c>
      <c r="AA53" s="933"/>
      <c r="AB53" s="139"/>
      <c r="AD53" s="1203" t="s">
        <v>1218</v>
      </c>
      <c r="AE53" s="467" t="s">
        <v>1223</v>
      </c>
      <c r="AF53" s="468">
        <v>0.1</v>
      </c>
      <c r="AG53" s="469">
        <f>+AF53*AJ50</f>
        <v>358150291.67132473</v>
      </c>
      <c r="AH53" s="470">
        <v>1E-3</v>
      </c>
      <c r="AI53" s="471">
        <v>4</v>
      </c>
      <c r="AJ53" s="472">
        <f t="shared" ref="AJ53:AJ57" si="1247">AN53</f>
        <v>358150.29167132475</v>
      </c>
      <c r="AK53" s="138"/>
      <c r="AL53" s="925">
        <f t="shared" ref="AL53" si="1248">+AH53</f>
        <v>1E-3</v>
      </c>
      <c r="AM53" s="925">
        <f t="shared" ref="AM53" si="1249">AL53*1</f>
        <v>1E-3</v>
      </c>
      <c r="AN53" s="926">
        <f t="shared" ref="AN53:AN57" si="1250">AM53*AG53</f>
        <v>358150.29167132475</v>
      </c>
      <c r="AO53" s="933"/>
      <c r="AP53" s="139"/>
      <c r="AR53" s="1203" t="s">
        <v>1218</v>
      </c>
      <c r="AS53" s="467" t="s">
        <v>1223</v>
      </c>
      <c r="AT53" s="468">
        <v>0.1</v>
      </c>
      <c r="AU53" s="469">
        <f>+AT53*AX50</f>
        <v>103405609.88640171</v>
      </c>
      <c r="AV53" s="470">
        <v>1E-3</v>
      </c>
      <c r="AW53" s="471">
        <v>4</v>
      </c>
      <c r="AX53" s="472">
        <f t="shared" ref="AX53:AX57" si="1251">BB53</f>
        <v>103405.60988640171</v>
      </c>
      <c r="AY53" s="138"/>
      <c r="AZ53" s="925">
        <f t="shared" ref="AZ53" si="1252">+AV53</f>
        <v>1E-3</v>
      </c>
      <c r="BA53" s="925">
        <f t="shared" ref="BA53" si="1253">AZ53*1</f>
        <v>1E-3</v>
      </c>
      <c r="BB53" s="926">
        <f t="shared" ref="BB53:BB57" si="1254">BA53*AU53</f>
        <v>103405.60988640171</v>
      </c>
      <c r="BC53" s="933"/>
      <c r="BD53" s="139"/>
      <c r="BF53" s="1203" t="s">
        <v>1218</v>
      </c>
      <c r="BG53" s="467" t="s">
        <v>1223</v>
      </c>
      <c r="BH53" s="468">
        <v>0.1</v>
      </c>
      <c r="BI53" s="469">
        <f>+BH53*BL50</f>
        <v>148348139.71400851</v>
      </c>
      <c r="BJ53" s="470">
        <v>1E-3</v>
      </c>
      <c r="BK53" s="471">
        <v>4</v>
      </c>
      <c r="BL53" s="472">
        <f t="shared" ref="BL53:BL57" si="1255">BP53</f>
        <v>148348.13971400852</v>
      </c>
      <c r="BM53" s="138"/>
      <c r="BN53" s="925">
        <f t="shared" ref="BN53" si="1256">+BJ53</f>
        <v>1E-3</v>
      </c>
      <c r="BO53" s="925">
        <f t="shared" ref="BO53" si="1257">BN53*1</f>
        <v>1E-3</v>
      </c>
      <c r="BP53" s="926">
        <f t="shared" ref="BP53:BP57" si="1258">BO53*BI53</f>
        <v>148348.13971400852</v>
      </c>
      <c r="BQ53" s="933"/>
      <c r="BR53" s="139"/>
      <c r="BT53" s="1203" t="s">
        <v>1218</v>
      </c>
      <c r="BU53" s="467" t="s">
        <v>1223</v>
      </c>
      <c r="BV53" s="468">
        <v>0.1</v>
      </c>
      <c r="BW53" s="469">
        <f t="shared" ref="BW53" si="1259">+BV53*BZ50</f>
        <v>126914509.45211041</v>
      </c>
      <c r="BX53" s="470">
        <v>1E-3</v>
      </c>
      <c r="BY53" s="471">
        <v>4</v>
      </c>
      <c r="BZ53" s="472">
        <f t="shared" ref="BZ53:BZ57" si="1260">CD53</f>
        <v>126914.50945211042</v>
      </c>
      <c r="CA53" s="138"/>
      <c r="CB53" s="925">
        <f t="shared" ref="CB53" si="1261">+BX53</f>
        <v>1E-3</v>
      </c>
      <c r="CC53" s="925">
        <f t="shared" ref="CC53" si="1262">CB53*1</f>
        <v>1E-3</v>
      </c>
      <c r="CD53" s="926">
        <f t="shared" ref="CD53:CD57" si="1263">CC53*BW53</f>
        <v>126914.50945211042</v>
      </c>
      <c r="CE53" s="933"/>
      <c r="CF53" s="139"/>
      <c r="CH53" s="1203" t="s">
        <v>1218</v>
      </c>
      <c r="CI53" s="467" t="s">
        <v>1223</v>
      </c>
      <c r="CJ53" s="468">
        <v>0.1</v>
      </c>
      <c r="CK53" s="469">
        <f t="shared" ref="CK53" si="1264">+CJ53*CN50</f>
        <v>126861500.46265423</v>
      </c>
      <c r="CL53" s="470">
        <v>1E-3</v>
      </c>
      <c r="CM53" s="471">
        <v>4</v>
      </c>
      <c r="CN53" s="472">
        <f t="shared" ref="CN53:CN57" si="1265">CR53</f>
        <v>126861.50046265424</v>
      </c>
      <c r="CO53" s="138"/>
      <c r="CP53" s="925">
        <f t="shared" ref="CP53" si="1266">+CL53</f>
        <v>1E-3</v>
      </c>
      <c r="CQ53" s="925">
        <f t="shared" ref="CQ53" si="1267">CP53*1</f>
        <v>1E-3</v>
      </c>
      <c r="CR53" s="926">
        <f t="shared" ref="CR53:CR57" si="1268">CQ53*CK53</f>
        <v>126861.50046265424</v>
      </c>
      <c r="CS53" s="933"/>
      <c r="CT53" s="139"/>
      <c r="CV53" s="1203" t="s">
        <v>1218</v>
      </c>
      <c r="CW53" s="467" t="s">
        <v>1223</v>
      </c>
      <c r="CX53" s="468">
        <v>0.1</v>
      </c>
      <c r="CY53" s="469">
        <f t="shared" ref="CY53" si="1269">+CX53*DB50</f>
        <v>69583515.15384227</v>
      </c>
      <c r="CZ53" s="470">
        <v>1E-3</v>
      </c>
      <c r="DA53" s="471">
        <v>4</v>
      </c>
      <c r="DB53" s="472">
        <f t="shared" ref="DB53:DB57" si="1270">DF53</f>
        <v>69583.515153842265</v>
      </c>
      <c r="DC53" s="138"/>
      <c r="DD53" s="925">
        <f t="shared" ref="DD53" si="1271">+CZ53</f>
        <v>1E-3</v>
      </c>
      <c r="DE53" s="925">
        <f t="shared" ref="DE53" si="1272">DD53*1</f>
        <v>1E-3</v>
      </c>
      <c r="DF53" s="926">
        <f t="shared" ref="DF53:DF57" si="1273">DE53*CY53</f>
        <v>69583.515153842265</v>
      </c>
      <c r="DG53" s="933"/>
      <c r="DH53" s="139"/>
      <c r="DJ53" s="1203" t="s">
        <v>1218</v>
      </c>
      <c r="DK53" s="467" t="s">
        <v>1223</v>
      </c>
      <c r="DL53" s="468">
        <v>0.1</v>
      </c>
      <c r="DM53" s="469">
        <f t="shared" ref="DM53" si="1274">+DL53*DP50</f>
        <v>141462554.86850175</v>
      </c>
      <c r="DN53" s="470">
        <v>1E-3</v>
      </c>
      <c r="DO53" s="471">
        <v>4</v>
      </c>
      <c r="DP53" s="472">
        <f t="shared" ref="DP53:DP57" si="1275">DT53</f>
        <v>141462.55486850176</v>
      </c>
      <c r="DQ53" s="138"/>
      <c r="DR53" s="925">
        <f t="shared" ref="DR53" si="1276">+DN53</f>
        <v>1E-3</v>
      </c>
      <c r="DS53" s="925">
        <f t="shared" ref="DS53" si="1277">DR53*1</f>
        <v>1E-3</v>
      </c>
      <c r="DT53" s="926">
        <f t="shared" ref="DT53:DT57" si="1278">DS53*DM53</f>
        <v>141462.55486850176</v>
      </c>
      <c r="DU53" s="933"/>
      <c r="DV53" s="139"/>
      <c r="DX53" s="1203" t="s">
        <v>1218</v>
      </c>
      <c r="DY53" s="467" t="s">
        <v>1223</v>
      </c>
      <c r="DZ53" s="468">
        <v>0.1</v>
      </c>
      <c r="EA53" s="469">
        <f t="shared" ref="EA53" si="1279">+DZ53*ED50</f>
        <v>101607908.69329745</v>
      </c>
      <c r="EB53" s="470">
        <v>1E-3</v>
      </c>
      <c r="EC53" s="471">
        <v>4</v>
      </c>
      <c r="ED53" s="472">
        <f t="shared" ref="ED53:ED57" si="1280">EH53</f>
        <v>101607.90869329745</v>
      </c>
      <c r="EE53" s="138"/>
      <c r="EF53" s="925">
        <f t="shared" ref="EF53" si="1281">+EB53</f>
        <v>1E-3</v>
      </c>
      <c r="EG53" s="925">
        <f t="shared" ref="EG53" si="1282">EF53*1</f>
        <v>1E-3</v>
      </c>
      <c r="EH53" s="926">
        <f t="shared" ref="EH53:EH57" si="1283">EG53*EA53</f>
        <v>101607.90869329745</v>
      </c>
      <c r="EI53" s="933"/>
      <c r="EJ53" s="139"/>
      <c r="EL53" s="1203" t="s">
        <v>1218</v>
      </c>
      <c r="EM53" s="467" t="s">
        <v>1223</v>
      </c>
      <c r="EN53" s="468">
        <v>0.1</v>
      </c>
      <c r="EO53" s="469">
        <f t="shared" ref="EO53" si="1284">+EN53*ER50</f>
        <v>144752737.32779992</v>
      </c>
      <c r="EP53" s="470">
        <v>1E-3</v>
      </c>
      <c r="EQ53" s="471">
        <v>4</v>
      </c>
      <c r="ER53" s="472">
        <f t="shared" ref="ER53:ER57" si="1285">EV53</f>
        <v>144752.73732779993</v>
      </c>
      <c r="ES53" s="138"/>
      <c r="ET53" s="925">
        <f t="shared" ref="ET53" si="1286">+EP53</f>
        <v>1E-3</v>
      </c>
      <c r="EU53" s="925">
        <f t="shared" ref="EU53" si="1287">ET53*1</f>
        <v>1E-3</v>
      </c>
      <c r="EV53" s="926">
        <f t="shared" ref="EV53:EV57" si="1288">EU53*EO53</f>
        <v>144752.73732779993</v>
      </c>
      <c r="EW53" s="933"/>
      <c r="EX53" s="139"/>
      <c r="EZ53" s="1203" t="s">
        <v>1218</v>
      </c>
      <c r="FA53" s="467" t="s">
        <v>1223</v>
      </c>
      <c r="FB53" s="468">
        <v>0.1</v>
      </c>
      <c r="FC53" s="469">
        <f t="shared" ref="FC53" si="1289">+FB53*FF50</f>
        <v>155711835.68376192</v>
      </c>
      <c r="FD53" s="470">
        <v>1E-3</v>
      </c>
      <c r="FE53" s="471">
        <v>4</v>
      </c>
      <c r="FF53" s="472">
        <f t="shared" ref="FF53:FF57" si="1290">FJ53</f>
        <v>155711.83568376192</v>
      </c>
      <c r="FG53" s="138"/>
      <c r="FH53" s="925">
        <f t="shared" ref="FH53" si="1291">+FD53</f>
        <v>1E-3</v>
      </c>
      <c r="FI53" s="925">
        <f t="shared" ref="FI53" si="1292">FH53*1</f>
        <v>1E-3</v>
      </c>
      <c r="FJ53" s="926">
        <f t="shared" ref="FJ53:FJ57" si="1293">FI53*FC53</f>
        <v>155711.83568376192</v>
      </c>
      <c r="FK53" s="933"/>
      <c r="FL53" s="139"/>
      <c r="FN53" s="1203" t="s">
        <v>1218</v>
      </c>
      <c r="FO53" s="467" t="s">
        <v>1223</v>
      </c>
      <c r="FP53" s="468">
        <v>0.1</v>
      </c>
      <c r="FQ53" s="469">
        <f t="shared" ref="FQ53" si="1294">+FP53*FT50</f>
        <v>113292966.44847523</v>
      </c>
      <c r="FR53" s="470">
        <v>1E-3</v>
      </c>
      <c r="FS53" s="471">
        <v>4</v>
      </c>
      <c r="FT53" s="472">
        <f t="shared" ref="FT53:FT57" si="1295">FX53</f>
        <v>113292.96644847523</v>
      </c>
      <c r="FU53" s="138"/>
      <c r="FV53" s="925">
        <f t="shared" ref="FV53" si="1296">+FR53</f>
        <v>1E-3</v>
      </c>
      <c r="FW53" s="925">
        <f t="shared" ref="FW53" si="1297">FV53*1</f>
        <v>1E-3</v>
      </c>
      <c r="FX53" s="926">
        <f t="shared" ref="FX53:FX57" si="1298">FW53*FQ53</f>
        <v>113292.96644847523</v>
      </c>
      <c r="FY53" s="933"/>
      <c r="FZ53" s="139"/>
      <c r="GB53" s="1203" t="s">
        <v>1218</v>
      </c>
      <c r="GC53" s="467" t="s">
        <v>1223</v>
      </c>
      <c r="GD53" s="468">
        <v>0.1</v>
      </c>
      <c r="GE53" s="469">
        <f t="shared" ref="GE53" si="1299">+GD53*GH50</f>
        <v>87589695.402383953</v>
      </c>
      <c r="GF53" s="470">
        <v>1E-3</v>
      </c>
      <c r="GG53" s="471">
        <v>4</v>
      </c>
      <c r="GH53" s="472">
        <f t="shared" ref="GH53:GH57" si="1300">GL53</f>
        <v>87589.69540238395</v>
      </c>
      <c r="GI53" s="138"/>
      <c r="GJ53" s="925">
        <f t="shared" ref="GJ53" si="1301">+GF53</f>
        <v>1E-3</v>
      </c>
      <c r="GK53" s="925">
        <f t="shared" ref="GK53" si="1302">GJ53*1</f>
        <v>1E-3</v>
      </c>
      <c r="GL53" s="926">
        <f t="shared" ref="GL53:GL57" si="1303">GK53*GE53</f>
        <v>87589.69540238395</v>
      </c>
      <c r="GM53" s="933"/>
      <c r="GN53" s="139"/>
      <c r="GP53" s="1203" t="s">
        <v>1218</v>
      </c>
      <c r="GQ53" s="467" t="s">
        <v>1223</v>
      </c>
      <c r="GR53" s="468">
        <v>0.1</v>
      </c>
      <c r="GS53" s="469">
        <f t="shared" ref="GS53" si="1304">+GR53*GV50</f>
        <v>54787078.325170711</v>
      </c>
      <c r="GT53" s="470">
        <v>1E-3</v>
      </c>
      <c r="GU53" s="471">
        <v>4</v>
      </c>
      <c r="GV53" s="472">
        <f t="shared" ref="GV53:GV57" si="1305">GZ53</f>
        <v>54787.078325170711</v>
      </c>
      <c r="GW53" s="138"/>
      <c r="GX53" s="925">
        <f t="shared" ref="GX53" si="1306">+GT53</f>
        <v>1E-3</v>
      </c>
      <c r="GY53" s="925">
        <f t="shared" ref="GY53" si="1307">GX53*1</f>
        <v>1E-3</v>
      </c>
      <c r="GZ53" s="926">
        <f t="shared" ref="GZ53:GZ57" si="1308">GY53*GS53</f>
        <v>54787.078325170711</v>
      </c>
      <c r="HA53" s="933"/>
      <c r="HB53" s="139"/>
      <c r="HD53" s="1203" t="s">
        <v>1218</v>
      </c>
      <c r="HE53" s="467" t="s">
        <v>1223</v>
      </c>
      <c r="HF53" s="468">
        <v>0.1</v>
      </c>
      <c r="HG53" s="469">
        <f t="shared" ref="HG53" si="1309">+HF53*HJ50</f>
        <v>175997243.37871319</v>
      </c>
      <c r="HH53" s="470">
        <v>1E-3</v>
      </c>
      <c r="HI53" s="471">
        <v>4</v>
      </c>
      <c r="HJ53" s="472">
        <f t="shared" ref="HJ53:HJ57" si="1310">HN53</f>
        <v>175997.2433787132</v>
      </c>
      <c r="HK53" s="138"/>
      <c r="HL53" s="925">
        <f t="shared" ref="HL53" si="1311">+HH53</f>
        <v>1E-3</v>
      </c>
      <c r="HM53" s="925">
        <f t="shared" ref="HM53" si="1312">HL53*1</f>
        <v>1E-3</v>
      </c>
      <c r="HN53" s="926">
        <f t="shared" ref="HN53:HN57" si="1313">HM53*HG53</f>
        <v>175997.2433787132</v>
      </c>
      <c r="HO53" s="933"/>
      <c r="HP53" s="139"/>
      <c r="HR53" s="1203" t="s">
        <v>1218</v>
      </c>
      <c r="HS53" s="467" t="s">
        <v>1223</v>
      </c>
      <c r="HT53" s="468">
        <v>0.1</v>
      </c>
      <c r="HU53" s="469">
        <f t="shared" ref="HU53" si="1314">+HT53*HX50</f>
        <v>61818815.712051809</v>
      </c>
      <c r="HV53" s="470">
        <v>1E-3</v>
      </c>
      <c r="HW53" s="471">
        <v>4</v>
      </c>
      <c r="HX53" s="472">
        <f t="shared" ref="HX53:HX57" si="1315">IB53</f>
        <v>61818.815712051808</v>
      </c>
      <c r="HY53" s="138"/>
      <c r="HZ53" s="925">
        <f t="shared" ref="HZ53" si="1316">+HV53</f>
        <v>1E-3</v>
      </c>
      <c r="IA53" s="925">
        <f t="shared" ref="IA53" si="1317">HZ53*1</f>
        <v>1E-3</v>
      </c>
      <c r="IB53" s="926">
        <f t="shared" ref="IB53:IB57" si="1318">IA53*HU53</f>
        <v>61818.815712051808</v>
      </c>
      <c r="IC53" s="933"/>
      <c r="ID53" s="139"/>
      <c r="IF53" s="1203" t="s">
        <v>1218</v>
      </c>
      <c r="IG53" s="467" t="s">
        <v>1223</v>
      </c>
      <c r="IH53" s="468">
        <v>0.1</v>
      </c>
      <c r="II53" s="469">
        <f t="shared" ref="II53" si="1319">+IH53*IL50</f>
        <v>41581418.843207777</v>
      </c>
      <c r="IJ53" s="470">
        <v>1E-3</v>
      </c>
      <c r="IK53" s="471">
        <v>4</v>
      </c>
      <c r="IL53" s="472">
        <f t="shared" ref="IL53:IL57" si="1320">IP53</f>
        <v>41581.418843207779</v>
      </c>
      <c r="IM53" s="138"/>
      <c r="IN53" s="925">
        <f t="shared" ref="IN53" si="1321">+IJ53</f>
        <v>1E-3</v>
      </c>
      <c r="IO53" s="925">
        <f t="shared" ref="IO53" si="1322">IN53*1</f>
        <v>1E-3</v>
      </c>
      <c r="IP53" s="926">
        <f t="shared" ref="IP53:IP57" si="1323">IO53*II53</f>
        <v>41581.418843207779</v>
      </c>
      <c r="IQ53" s="933"/>
      <c r="IR53" s="139"/>
      <c r="IT53" s="1203" t="s">
        <v>1218</v>
      </c>
      <c r="IU53" s="467" t="s">
        <v>1223</v>
      </c>
      <c r="IV53" s="468">
        <v>0.1</v>
      </c>
      <c r="IW53" s="469">
        <f t="shared" ref="IW53" si="1324">+IV53*IZ50</f>
        <v>258570555.79030967</v>
      </c>
      <c r="IX53" s="470">
        <v>1E-3</v>
      </c>
      <c r="IY53" s="471">
        <v>4</v>
      </c>
      <c r="IZ53" s="472">
        <f t="shared" ref="IZ53:IZ57" si="1325">JD53</f>
        <v>258570.55579030968</v>
      </c>
      <c r="JA53" s="138"/>
      <c r="JB53" s="925">
        <f t="shared" ref="JB53" si="1326">+IX53</f>
        <v>1E-3</v>
      </c>
      <c r="JC53" s="925">
        <f t="shared" ref="JC53" si="1327">JB53*1</f>
        <v>1E-3</v>
      </c>
      <c r="JD53" s="926">
        <f t="shared" ref="JD53:JD57" si="1328">JC53*IW53</f>
        <v>258570.55579030968</v>
      </c>
      <c r="JE53" s="933"/>
      <c r="JF53" s="139"/>
      <c r="JH53" s="1203" t="s">
        <v>1218</v>
      </c>
      <c r="JI53" s="467" t="s">
        <v>1223</v>
      </c>
      <c r="JJ53" s="468">
        <v>0.1</v>
      </c>
      <c r="JK53" s="469">
        <f>+JJ53*JN50</f>
        <v>300151974.63351744</v>
      </c>
      <c r="JL53" s="470">
        <v>1E-3</v>
      </c>
      <c r="JM53" s="471">
        <v>4</v>
      </c>
      <c r="JN53" s="472">
        <f t="shared" ref="JN53:JN57" si="1329">JR53</f>
        <v>300151.97463351744</v>
      </c>
      <c r="JO53" s="138"/>
      <c r="JP53" s="925">
        <f t="shared" ref="JP53" si="1330">+JL53</f>
        <v>1E-3</v>
      </c>
      <c r="JQ53" s="925">
        <f t="shared" ref="JQ53" si="1331">JP53*1</f>
        <v>1E-3</v>
      </c>
      <c r="JR53" s="926">
        <f t="shared" ref="JR53:JR57" si="1332">JQ53*JK53</f>
        <v>300151.97463351744</v>
      </c>
      <c r="JS53" s="933"/>
      <c r="JT53" s="139"/>
      <c r="JV53" s="1203" t="s">
        <v>1218</v>
      </c>
      <c r="JW53" s="467" t="s">
        <v>1223</v>
      </c>
      <c r="JX53" s="468">
        <v>0.1</v>
      </c>
      <c r="JY53" s="469">
        <f t="shared" ref="JY53" si="1333">+JX53*KB50</f>
        <v>87118486.291139215</v>
      </c>
      <c r="JZ53" s="470">
        <v>1E-3</v>
      </c>
      <c r="KA53" s="471">
        <v>4</v>
      </c>
      <c r="KB53" s="472">
        <f t="shared" ref="KB53:KB57" si="1334">KF53</f>
        <v>87118.486291139212</v>
      </c>
      <c r="KC53" s="138"/>
      <c r="KD53" s="925">
        <f t="shared" ref="KD53" si="1335">+JZ53</f>
        <v>1E-3</v>
      </c>
      <c r="KE53" s="925">
        <f t="shared" ref="KE53" si="1336">KD53*1</f>
        <v>1E-3</v>
      </c>
      <c r="KF53" s="926">
        <f t="shared" ref="KF53:KF57" si="1337">KE53*JY53</f>
        <v>87118.486291139212</v>
      </c>
      <c r="KG53" s="933"/>
      <c r="KH53" s="139"/>
      <c r="KJ53" s="1203" t="s">
        <v>1218</v>
      </c>
      <c r="KK53" s="467" t="s">
        <v>1223</v>
      </c>
      <c r="KL53" s="468">
        <v>0.1</v>
      </c>
      <c r="KM53" s="469">
        <f t="shared" ref="KM53" si="1338">+KL53*KP50</f>
        <v>52386390.7113415</v>
      </c>
      <c r="KN53" s="470">
        <v>1E-3</v>
      </c>
      <c r="KO53" s="471">
        <v>4</v>
      </c>
      <c r="KP53" s="472">
        <f t="shared" ref="KP53:KP57" si="1339">KT53</f>
        <v>52386.390711341504</v>
      </c>
      <c r="KQ53" s="138"/>
      <c r="KR53" s="925">
        <f t="shared" ref="KR53" si="1340">+KN53</f>
        <v>1E-3</v>
      </c>
      <c r="KS53" s="925">
        <f t="shared" ref="KS53" si="1341">KR53*1</f>
        <v>1E-3</v>
      </c>
      <c r="KT53" s="926">
        <f t="shared" ref="KT53:KT57" si="1342">KS53*KM53</f>
        <v>52386.390711341504</v>
      </c>
      <c r="KU53" s="933"/>
      <c r="KV53" s="139"/>
      <c r="KX53" s="1203" t="s">
        <v>1218</v>
      </c>
      <c r="KY53" s="467" t="s">
        <v>1223</v>
      </c>
      <c r="KZ53" s="468">
        <v>0.1</v>
      </c>
      <c r="LA53" s="469">
        <f t="shared" ref="LA53" si="1343">+KZ53*LD50</f>
        <v>42614846.548317187</v>
      </c>
      <c r="LB53" s="470">
        <v>1E-3</v>
      </c>
      <c r="LC53" s="471">
        <v>4</v>
      </c>
      <c r="LD53" s="472">
        <f t="shared" ref="LD53:LD57" si="1344">LH53</f>
        <v>42614.846548317189</v>
      </c>
      <c r="LE53" s="138"/>
      <c r="LF53" s="925">
        <f t="shared" ref="LF53" si="1345">+LB53</f>
        <v>1E-3</v>
      </c>
      <c r="LG53" s="925">
        <f t="shared" ref="LG53" si="1346">LF53*1</f>
        <v>1E-3</v>
      </c>
      <c r="LH53" s="926">
        <f t="shared" ref="LH53:LH57" si="1347">LG53*LA53</f>
        <v>42614.846548317189</v>
      </c>
      <c r="LI53" s="933"/>
      <c r="LJ53" s="139"/>
      <c r="LL53" s="1203" t="s">
        <v>1218</v>
      </c>
      <c r="LM53" s="467" t="s">
        <v>1223</v>
      </c>
      <c r="LN53" s="468">
        <v>0.1</v>
      </c>
      <c r="LO53" s="469">
        <f t="shared" ref="LO53" si="1348">+LN53*LR50</f>
        <v>111495265.25537093</v>
      </c>
      <c r="LP53" s="470">
        <v>1E-3</v>
      </c>
      <c r="LQ53" s="471">
        <v>4</v>
      </c>
      <c r="LR53" s="472">
        <f t="shared" ref="LR53:LR57" si="1349">LV53</f>
        <v>111495.26525537093</v>
      </c>
      <c r="LS53" s="138"/>
      <c r="LT53" s="925">
        <f t="shared" ref="LT53" si="1350">+LP53</f>
        <v>1E-3</v>
      </c>
      <c r="LU53" s="925">
        <f t="shared" ref="LU53" si="1351">LT53*1</f>
        <v>1E-3</v>
      </c>
      <c r="LV53" s="926">
        <f t="shared" ref="LV53:LV57" si="1352">LU53*LO53</f>
        <v>111495.26525537093</v>
      </c>
      <c r="LW53" s="933"/>
      <c r="LX53" s="139"/>
      <c r="LZ53" s="1203" t="s">
        <v>1218</v>
      </c>
      <c r="MA53" s="467" t="s">
        <v>1223</v>
      </c>
      <c r="MB53" s="468">
        <v>0.1</v>
      </c>
      <c r="MC53" s="469">
        <f t="shared" ref="MC53" si="1353">+MB53*MF50</f>
        <v>110596414.6588188</v>
      </c>
      <c r="MD53" s="470">
        <v>1E-3</v>
      </c>
      <c r="ME53" s="471">
        <v>4</v>
      </c>
      <c r="MF53" s="472">
        <f t="shared" ref="MF53:MF57" si="1354">MJ53</f>
        <v>110596.4146588188</v>
      </c>
      <c r="MG53" s="138"/>
      <c r="MH53" s="925">
        <f t="shared" ref="MH53" si="1355">+MD53</f>
        <v>1E-3</v>
      </c>
      <c r="MI53" s="925">
        <f t="shared" ref="MI53" si="1356">MH53*1</f>
        <v>1E-3</v>
      </c>
      <c r="MJ53" s="926">
        <f t="shared" ref="MJ53:MJ57" si="1357">MI53*MC53</f>
        <v>110596.4146588188</v>
      </c>
      <c r="MK53" s="933"/>
      <c r="ML53" s="139"/>
      <c r="MN53" s="1203" t="s">
        <v>1218</v>
      </c>
      <c r="MO53" s="467" t="s">
        <v>1223</v>
      </c>
      <c r="MP53" s="468">
        <v>0.1</v>
      </c>
      <c r="MQ53" s="469">
        <f t="shared" ref="MQ53" si="1358">+MP53*MT50</f>
        <v>113170259.11048518</v>
      </c>
      <c r="MR53" s="470">
        <v>1E-3</v>
      </c>
      <c r="MS53" s="471">
        <v>4</v>
      </c>
      <c r="MT53" s="472">
        <f t="shared" ref="MT53:MT57" si="1359">MX53</f>
        <v>113170.25911048519</v>
      </c>
      <c r="MU53" s="138"/>
      <c r="MV53" s="925">
        <f t="shared" ref="MV53" si="1360">+MR53</f>
        <v>1E-3</v>
      </c>
      <c r="MW53" s="925">
        <f t="shared" ref="MW53" si="1361">MV53*1</f>
        <v>1E-3</v>
      </c>
      <c r="MX53" s="926">
        <f t="shared" ref="MX53:MX57" si="1362">MW53*MQ53</f>
        <v>113170.25911048519</v>
      </c>
      <c r="MY53" s="933"/>
      <c r="MZ53" s="139"/>
      <c r="NB53" s="1203" t="s">
        <v>1218</v>
      </c>
      <c r="NC53" s="467" t="s">
        <v>1223</v>
      </c>
      <c r="ND53" s="468">
        <v>0.1</v>
      </c>
      <c r="NE53" s="469">
        <f t="shared" ref="NE53" si="1363">+ND53*NH50</f>
        <v>216585201.10436508</v>
      </c>
      <c r="NF53" s="470">
        <v>1E-3</v>
      </c>
      <c r="NG53" s="471">
        <v>4</v>
      </c>
      <c r="NH53" s="472">
        <f t="shared" ref="NH53:NH57" si="1364">NL53</f>
        <v>216585.20110436509</v>
      </c>
      <c r="NI53" s="138"/>
      <c r="NJ53" s="925">
        <f t="shared" ref="NJ53" si="1365">+NF53</f>
        <v>1E-3</v>
      </c>
      <c r="NK53" s="925">
        <f t="shared" ref="NK53" si="1366">NJ53*1</f>
        <v>1E-3</v>
      </c>
      <c r="NL53" s="926">
        <f t="shared" ref="NL53:NL57" si="1367">NK53*NE53</f>
        <v>216585.20110436509</v>
      </c>
      <c r="NM53" s="933"/>
      <c r="NN53" s="139"/>
      <c r="NP53" s="1203" t="s">
        <v>1218</v>
      </c>
      <c r="NQ53" s="467" t="s">
        <v>1223</v>
      </c>
      <c r="NR53" s="468">
        <v>0.1</v>
      </c>
      <c r="NS53" s="469">
        <f t="shared" ref="NS53" si="1368">+NR53*NV50</f>
        <v>34477853.01628124</v>
      </c>
      <c r="NT53" s="470">
        <v>1E-3</v>
      </c>
      <c r="NU53" s="471">
        <v>4</v>
      </c>
      <c r="NV53" s="472">
        <f t="shared" ref="NV53:NV57" si="1369">NZ53</f>
        <v>34477.853016281239</v>
      </c>
      <c r="NW53" s="138"/>
      <c r="NX53" s="925">
        <f t="shared" ref="NX53" si="1370">+NT53</f>
        <v>1E-3</v>
      </c>
      <c r="NY53" s="925">
        <f t="shared" ref="NY53" si="1371">NX53*1</f>
        <v>1E-3</v>
      </c>
      <c r="NZ53" s="926">
        <f t="shared" ref="NZ53:NZ57" si="1372">NY53*NS53</f>
        <v>34477.853016281239</v>
      </c>
      <c r="OA53" s="933"/>
      <c r="OB53" s="139"/>
      <c r="OD53" s="1203" t="s">
        <v>1218</v>
      </c>
      <c r="OE53" s="467" t="s">
        <v>1223</v>
      </c>
      <c r="OF53" s="468">
        <v>0.1</v>
      </c>
      <c r="OG53" s="469">
        <f t="shared" ref="OG53" si="1373">+OF53*OJ50</f>
        <v>44934315.027764909</v>
      </c>
      <c r="OH53" s="470">
        <v>1E-3</v>
      </c>
      <c r="OI53" s="471">
        <v>4</v>
      </c>
      <c r="OJ53" s="472">
        <f t="shared" ref="OJ53:OJ57" si="1374">ON53</f>
        <v>44934.315027764911</v>
      </c>
      <c r="OK53" s="138"/>
      <c r="OL53" s="925">
        <f t="shared" ref="OL53" si="1375">+OH53</f>
        <v>1E-3</v>
      </c>
      <c r="OM53" s="925">
        <f t="shared" ref="OM53" si="1376">OL53*1</f>
        <v>1E-3</v>
      </c>
      <c r="ON53" s="926">
        <f t="shared" ref="ON53:ON57" si="1377">OM53*OG53</f>
        <v>44934.315027764911</v>
      </c>
      <c r="OO53" s="933"/>
      <c r="OP53" s="139"/>
      <c r="OR53" s="1203" t="s">
        <v>1218</v>
      </c>
      <c r="OS53" s="467" t="s">
        <v>1223</v>
      </c>
      <c r="OT53" s="468">
        <v>0.1</v>
      </c>
      <c r="OU53" s="469">
        <f t="shared" ref="OU53" si="1378">+OT53*OX50</f>
        <v>56769365.818857148</v>
      </c>
      <c r="OV53" s="470">
        <v>1E-3</v>
      </c>
      <c r="OW53" s="471">
        <v>4</v>
      </c>
      <c r="OX53" s="472">
        <f t="shared" ref="OX53:OX57" si="1379">PB53</f>
        <v>56769.36581885715</v>
      </c>
      <c r="OY53" s="138"/>
      <c r="OZ53" s="925">
        <f t="shared" ref="OZ53" si="1380">+OV53</f>
        <v>1E-3</v>
      </c>
      <c r="PA53" s="925">
        <f t="shared" ref="PA53" si="1381">OZ53*1</f>
        <v>1E-3</v>
      </c>
      <c r="PB53" s="926">
        <f t="shared" ref="PB53:PB57" si="1382">PA53*OU53</f>
        <v>56769.36581885715</v>
      </c>
      <c r="PC53" s="933"/>
      <c r="PD53" s="139"/>
      <c r="PF53" s="1203" t="s">
        <v>1218</v>
      </c>
      <c r="PG53" s="467" t="s">
        <v>1223</v>
      </c>
      <c r="PH53" s="468">
        <v>0.1</v>
      </c>
      <c r="PI53" s="469">
        <f t="shared" ref="PI53" si="1383">+PH53*PL50</f>
        <v>14436224.268843198</v>
      </c>
      <c r="PJ53" s="470">
        <v>1E-3</v>
      </c>
      <c r="PK53" s="471">
        <v>4</v>
      </c>
      <c r="PL53" s="472">
        <f t="shared" ref="PL53:PL57" si="1384">PP53</f>
        <v>14436.224268843198</v>
      </c>
      <c r="PM53" s="138"/>
      <c r="PN53" s="925">
        <f t="shared" ref="PN53" si="1385">+PJ53</f>
        <v>1E-3</v>
      </c>
      <c r="PO53" s="925">
        <f t="shared" ref="PO53" si="1386">PN53*1</f>
        <v>1E-3</v>
      </c>
      <c r="PP53" s="926">
        <f t="shared" ref="PP53:PP57" si="1387">PO53*PI53</f>
        <v>14436.224268843198</v>
      </c>
      <c r="PQ53" s="933"/>
      <c r="PR53" s="139"/>
      <c r="PT53" s="1203" t="s">
        <v>1218</v>
      </c>
      <c r="PU53" s="467" t="s">
        <v>1223</v>
      </c>
      <c r="PV53" s="468">
        <v>0.1</v>
      </c>
      <c r="PW53" s="469">
        <f t="shared" ref="PW53" si="1388">+PV53*PZ50</f>
        <v>22278600.735231996</v>
      </c>
      <c r="PX53" s="470">
        <v>1E-3</v>
      </c>
      <c r="PY53" s="471">
        <v>4</v>
      </c>
      <c r="PZ53" s="472">
        <f t="shared" ref="PZ53:PZ57" si="1389">QD53</f>
        <v>22278.600735231998</v>
      </c>
      <c r="QA53" s="138"/>
      <c r="QB53" s="925">
        <f t="shared" ref="QB53" si="1390">+PX53</f>
        <v>1E-3</v>
      </c>
      <c r="QC53" s="925">
        <f t="shared" ref="QC53" si="1391">QB53*1</f>
        <v>1E-3</v>
      </c>
      <c r="QD53" s="926">
        <f t="shared" ref="QD53:QD57" si="1392">QC53*PW53</f>
        <v>22278.600735231998</v>
      </c>
      <c r="QE53" s="933"/>
      <c r="QF53" s="139"/>
      <c r="QH53" s="1203" t="s">
        <v>1218</v>
      </c>
      <c r="QI53" s="467" t="s">
        <v>1223</v>
      </c>
      <c r="QJ53" s="468">
        <v>0.1</v>
      </c>
      <c r="QK53" s="469">
        <f t="shared" ref="QK53" si="1393">+QJ53*QN50</f>
        <v>8336598.1283185799</v>
      </c>
      <c r="QL53" s="470">
        <v>1E-3</v>
      </c>
      <c r="QM53" s="471">
        <v>4</v>
      </c>
      <c r="QN53" s="472">
        <f t="shared" ref="QN53:QN57" si="1394">QR53</f>
        <v>8336.5981283185793</v>
      </c>
      <c r="QO53" s="138"/>
      <c r="QP53" s="925">
        <f t="shared" ref="QP53" si="1395">+QL53</f>
        <v>1E-3</v>
      </c>
      <c r="QQ53" s="925">
        <f t="shared" ref="QQ53" si="1396">QP53*1</f>
        <v>1E-3</v>
      </c>
      <c r="QR53" s="926">
        <f t="shared" ref="QR53:QR57" si="1397">QQ53*QK53</f>
        <v>8336.5981283185793</v>
      </c>
      <c r="QS53" s="933"/>
      <c r="QT53" s="139"/>
      <c r="QV53" s="1203" t="s">
        <v>1218</v>
      </c>
      <c r="QW53" s="467" t="s">
        <v>1223</v>
      </c>
      <c r="QX53" s="468">
        <v>0.1</v>
      </c>
      <c r="QY53" s="469">
        <f t="shared" ref="QY53" si="1398">+QX53*RB50</f>
        <v>18793100.083503641</v>
      </c>
      <c r="QZ53" s="470">
        <v>1E-3</v>
      </c>
      <c r="RA53" s="471">
        <v>4</v>
      </c>
      <c r="RB53" s="472">
        <f t="shared" ref="RB53:RB57" si="1399">RF53</f>
        <v>18793.100083503643</v>
      </c>
      <c r="RC53" s="138"/>
      <c r="RD53" s="925">
        <f t="shared" ref="RD53" si="1400">+QZ53</f>
        <v>1E-3</v>
      </c>
      <c r="RE53" s="925">
        <f t="shared" ref="RE53" si="1401">RD53*1</f>
        <v>1E-3</v>
      </c>
      <c r="RF53" s="926">
        <f t="shared" ref="RF53:RF57" si="1402">RE53*QY53</f>
        <v>18793.100083503643</v>
      </c>
      <c r="RG53" s="933"/>
      <c r="RH53" s="139"/>
      <c r="RJ53" s="1203" t="s">
        <v>1218</v>
      </c>
      <c r="RK53" s="467" t="s">
        <v>1223</v>
      </c>
      <c r="RL53" s="468">
        <v>0.1</v>
      </c>
      <c r="RM53" s="469">
        <f t="shared" ref="RM53" si="1403">+RL53*RP50</f>
        <v>8358994.9091347456</v>
      </c>
      <c r="RN53" s="470">
        <v>1E-3</v>
      </c>
      <c r="RO53" s="471">
        <v>4</v>
      </c>
      <c r="RP53" s="472">
        <f t="shared" ref="RP53:RP57" si="1404">RT53</f>
        <v>8358.9949091347462</v>
      </c>
      <c r="RQ53" s="138"/>
      <c r="RR53" s="925">
        <f t="shared" ref="RR53" si="1405">+RN53</f>
        <v>1E-3</v>
      </c>
      <c r="RS53" s="925">
        <f t="shared" ref="RS53" si="1406">RR53*1</f>
        <v>1E-3</v>
      </c>
      <c r="RT53" s="926">
        <f t="shared" ref="RT53:RT57" si="1407">RS53*RM53</f>
        <v>8358.9949091347462</v>
      </c>
      <c r="RU53" s="933"/>
      <c r="RV53" s="139"/>
      <c r="RX53" s="1203" t="s">
        <v>1218</v>
      </c>
      <c r="RY53" s="467" t="s">
        <v>1223</v>
      </c>
      <c r="RZ53" s="468">
        <v>0.1</v>
      </c>
      <c r="SA53" s="469">
        <f t="shared" ref="SA53" si="1408">+RZ53*SD50</f>
        <v>12693473.942979023</v>
      </c>
      <c r="SB53" s="470">
        <v>1E-3</v>
      </c>
      <c r="SC53" s="471">
        <v>4</v>
      </c>
      <c r="SD53" s="472">
        <f t="shared" ref="SD53:SD57" si="1409">SH53</f>
        <v>12693.473942979022</v>
      </c>
      <c r="SE53" s="138"/>
      <c r="SF53" s="925">
        <f t="shared" ref="SF53" si="1410">+SB53</f>
        <v>1E-3</v>
      </c>
      <c r="SG53" s="925">
        <f t="shared" ref="SG53" si="1411">SF53*1</f>
        <v>1E-3</v>
      </c>
      <c r="SH53" s="926">
        <f t="shared" ref="SH53:SH57" si="1412">SG53*SA53</f>
        <v>12693.473942979022</v>
      </c>
      <c r="SI53" s="933"/>
      <c r="SJ53" s="139"/>
      <c r="SL53" s="1203" t="s">
        <v>1218</v>
      </c>
      <c r="SM53" s="467" t="s">
        <v>1223</v>
      </c>
      <c r="SN53" s="468">
        <v>0.1</v>
      </c>
      <c r="SO53" s="469">
        <f t="shared" ref="SO53" si="1413">+SN53*SR50</f>
        <v>0</v>
      </c>
      <c r="SP53" s="470">
        <v>1E-3</v>
      </c>
      <c r="SQ53" s="471">
        <v>4</v>
      </c>
      <c r="SR53" s="472">
        <f t="shared" ref="SR53:SR57" si="1414">SV53</f>
        <v>0</v>
      </c>
      <c r="SS53" s="138"/>
      <c r="ST53" s="925">
        <f t="shared" ref="ST53" si="1415">+SP53</f>
        <v>1E-3</v>
      </c>
      <c r="SU53" s="925">
        <f t="shared" ref="SU53" si="1416">ST53*1</f>
        <v>1E-3</v>
      </c>
      <c r="SV53" s="926">
        <f t="shared" ref="SV53:SV57" si="1417">SU53*SO53</f>
        <v>0</v>
      </c>
      <c r="SW53" s="933"/>
      <c r="SX53" s="139"/>
      <c r="SZ53" s="1203" t="s">
        <v>1218</v>
      </c>
      <c r="TA53" s="467" t="s">
        <v>1223</v>
      </c>
      <c r="TB53" s="468">
        <v>0.1</v>
      </c>
      <c r="TC53" s="469">
        <f t="shared" ref="TC53" si="1418">+TB53*TF50</f>
        <v>3225481766.4247675</v>
      </c>
      <c r="TD53" s="470">
        <v>1E-3</v>
      </c>
      <c r="TE53" s="471">
        <v>4</v>
      </c>
      <c r="TF53" s="472">
        <f t="shared" ref="TF53:TF57" si="1419">TJ53</f>
        <v>3225481.7664247677</v>
      </c>
      <c r="TG53" s="138"/>
      <c r="TH53" s="925">
        <f t="shared" ref="TH53" si="1420">+TD53</f>
        <v>1E-3</v>
      </c>
      <c r="TI53" s="925">
        <f t="shared" ref="TI53" si="1421">TH53*1</f>
        <v>1E-3</v>
      </c>
      <c r="TJ53" s="926">
        <f t="shared" ref="TJ53:TJ57" si="1422">TI53*TC53</f>
        <v>3225481.7664247677</v>
      </c>
      <c r="TK53" s="933"/>
      <c r="TL53" s="139"/>
    </row>
    <row r="54" spans="2:532" ht="18.75" customHeight="1">
      <c r="B54" s="1204"/>
      <c r="C54" s="285" t="s">
        <v>1224</v>
      </c>
      <c r="D54" s="114">
        <v>0.2</v>
      </c>
      <c r="E54" s="137">
        <f>+H50*D54</f>
        <v>579941783.41794336</v>
      </c>
      <c r="F54" s="115">
        <v>4.0000000000000001E-3</v>
      </c>
      <c r="G54" s="140">
        <v>4</v>
      </c>
      <c r="H54" s="465">
        <f>L54</f>
        <v>1739825.3502538302</v>
      </c>
      <c r="I54" s="138"/>
      <c r="J54" s="927">
        <f>+F54/12</f>
        <v>3.3333333333333332E-4</v>
      </c>
      <c r="K54" s="928">
        <f>J54*(G54+E11)</f>
        <v>3.0000000000000001E-3</v>
      </c>
      <c r="L54" s="929">
        <f>K54*E54</f>
        <v>1739825.3502538302</v>
      </c>
      <c r="M54" s="933"/>
      <c r="N54" s="139"/>
      <c r="P54" s="1204"/>
      <c r="Q54" s="285" t="s">
        <v>1224</v>
      </c>
      <c r="R54" s="114">
        <v>0.2</v>
      </c>
      <c r="S54" s="137">
        <f>+V50*R54</f>
        <v>136358799.92470619</v>
      </c>
      <c r="T54" s="115">
        <v>4.0000000000000001E-3</v>
      </c>
      <c r="U54" s="140">
        <v>4</v>
      </c>
      <c r="V54" s="465">
        <f t="shared" si="1243"/>
        <v>409076.39977411856</v>
      </c>
      <c r="W54" s="138"/>
      <c r="X54" s="927">
        <f t="shared" ref="X54:X57" si="1423">+T54/12</f>
        <v>3.3333333333333332E-4</v>
      </c>
      <c r="Y54" s="928">
        <f t="shared" ref="Y54" si="1424">X54*(U54+S11)</f>
        <v>3.0000000000000001E-3</v>
      </c>
      <c r="Z54" s="929">
        <f t="shared" si="1246"/>
        <v>409076.39977411856</v>
      </c>
      <c r="AA54" s="933"/>
      <c r="AB54" s="139"/>
      <c r="AD54" s="1204"/>
      <c r="AE54" s="285" t="s">
        <v>1224</v>
      </c>
      <c r="AF54" s="114">
        <v>0.2</v>
      </c>
      <c r="AG54" s="137">
        <f>+AJ50*AF54</f>
        <v>716300583.34264946</v>
      </c>
      <c r="AH54" s="115">
        <v>4.0000000000000001E-3</v>
      </c>
      <c r="AI54" s="140">
        <v>4</v>
      </c>
      <c r="AJ54" s="465">
        <f t="shared" si="1247"/>
        <v>2148901.7500279485</v>
      </c>
      <c r="AK54" s="138"/>
      <c r="AL54" s="927">
        <f t="shared" ref="AL54:AL57" si="1425">+AH54/12</f>
        <v>3.3333333333333332E-4</v>
      </c>
      <c r="AM54" s="928">
        <f t="shared" ref="AM54" si="1426">AL54*(AI54+AG11)</f>
        <v>3.0000000000000001E-3</v>
      </c>
      <c r="AN54" s="929">
        <f t="shared" si="1250"/>
        <v>2148901.7500279485</v>
      </c>
      <c r="AO54" s="933"/>
      <c r="AP54" s="139"/>
      <c r="AR54" s="1204"/>
      <c r="AS54" s="285" t="s">
        <v>1224</v>
      </c>
      <c r="AT54" s="114">
        <v>0.2</v>
      </c>
      <c r="AU54" s="137">
        <f>+AX50*AT54</f>
        <v>206811219.77280343</v>
      </c>
      <c r="AV54" s="115">
        <v>4.0000000000000001E-3</v>
      </c>
      <c r="AW54" s="140">
        <v>4</v>
      </c>
      <c r="AX54" s="465">
        <f t="shared" si="1251"/>
        <v>620433.65931841033</v>
      </c>
      <c r="AY54" s="138"/>
      <c r="AZ54" s="927">
        <f t="shared" ref="AZ54:AZ57" si="1427">+AV54/12</f>
        <v>3.3333333333333332E-4</v>
      </c>
      <c r="BA54" s="928">
        <f t="shared" ref="BA54" si="1428">AZ54*(AW54+AU11)</f>
        <v>3.0000000000000001E-3</v>
      </c>
      <c r="BB54" s="929">
        <f t="shared" si="1254"/>
        <v>620433.65931841033</v>
      </c>
      <c r="BC54" s="933"/>
      <c r="BD54" s="139"/>
      <c r="BF54" s="1204"/>
      <c r="BG54" s="285" t="s">
        <v>1224</v>
      </c>
      <c r="BH54" s="114">
        <v>0.2</v>
      </c>
      <c r="BI54" s="137">
        <f>+BL50*BH54</f>
        <v>296696279.42801702</v>
      </c>
      <c r="BJ54" s="115">
        <v>4.0000000000000001E-3</v>
      </c>
      <c r="BK54" s="140">
        <v>4</v>
      </c>
      <c r="BL54" s="465">
        <f t="shared" si="1255"/>
        <v>890088.83828405105</v>
      </c>
      <c r="BM54" s="138"/>
      <c r="BN54" s="927">
        <f t="shared" ref="BN54:BN57" si="1429">+BJ54/12</f>
        <v>3.3333333333333332E-4</v>
      </c>
      <c r="BO54" s="928">
        <f t="shared" ref="BO54" si="1430">BN54*(BK54+BI11)</f>
        <v>3.0000000000000001E-3</v>
      </c>
      <c r="BP54" s="929">
        <f t="shared" si="1258"/>
        <v>890088.83828405105</v>
      </c>
      <c r="BQ54" s="933"/>
      <c r="BR54" s="139"/>
      <c r="BT54" s="1204"/>
      <c r="BU54" s="285" t="s">
        <v>1224</v>
      </c>
      <c r="BV54" s="114">
        <v>0.2</v>
      </c>
      <c r="BW54" s="137">
        <f t="shared" ref="BW54" si="1431">+BZ50*BV54</f>
        <v>253829018.90422082</v>
      </c>
      <c r="BX54" s="115">
        <v>4.0000000000000001E-3</v>
      </c>
      <c r="BY54" s="140">
        <v>4</v>
      </c>
      <c r="BZ54" s="465">
        <f t="shared" si="1260"/>
        <v>761487.05671266245</v>
      </c>
      <c r="CA54" s="138"/>
      <c r="CB54" s="927">
        <f t="shared" ref="CB54:CB57" si="1432">+BX54/12</f>
        <v>3.3333333333333332E-4</v>
      </c>
      <c r="CC54" s="928">
        <f t="shared" ref="CC54" si="1433">CB54*(BY54+BW11)</f>
        <v>3.0000000000000001E-3</v>
      </c>
      <c r="CD54" s="929">
        <f t="shared" si="1263"/>
        <v>761487.05671266245</v>
      </c>
      <c r="CE54" s="933"/>
      <c r="CF54" s="139"/>
      <c r="CH54" s="1204"/>
      <c r="CI54" s="285" t="s">
        <v>1224</v>
      </c>
      <c r="CJ54" s="114">
        <v>0.2</v>
      </c>
      <c r="CK54" s="137">
        <f t="shared" ref="CK54" si="1434">+CN50*CJ54</f>
        <v>253723000.92530847</v>
      </c>
      <c r="CL54" s="115">
        <v>4.0000000000000001E-3</v>
      </c>
      <c r="CM54" s="140">
        <v>4</v>
      </c>
      <c r="CN54" s="465">
        <f t="shared" si="1265"/>
        <v>761169.00277592544</v>
      </c>
      <c r="CO54" s="138"/>
      <c r="CP54" s="927">
        <f t="shared" ref="CP54:CP57" si="1435">+CL54/12</f>
        <v>3.3333333333333332E-4</v>
      </c>
      <c r="CQ54" s="928">
        <f t="shared" ref="CQ54" si="1436">CP54*(CM54+CK11)</f>
        <v>3.0000000000000001E-3</v>
      </c>
      <c r="CR54" s="929">
        <f t="shared" si="1268"/>
        <v>761169.00277592544</v>
      </c>
      <c r="CS54" s="933"/>
      <c r="CT54" s="139"/>
      <c r="CV54" s="1204"/>
      <c r="CW54" s="285" t="s">
        <v>1224</v>
      </c>
      <c r="CX54" s="114">
        <v>0.2</v>
      </c>
      <c r="CY54" s="137">
        <f t="shared" ref="CY54" si="1437">+DB50*CX54</f>
        <v>139167030.30768454</v>
      </c>
      <c r="CZ54" s="115">
        <v>4.0000000000000001E-3</v>
      </c>
      <c r="DA54" s="140">
        <v>4</v>
      </c>
      <c r="DB54" s="465">
        <f t="shared" si="1270"/>
        <v>417501.09092305362</v>
      </c>
      <c r="DC54" s="138"/>
      <c r="DD54" s="927">
        <f t="shared" ref="DD54:DD57" si="1438">+CZ54/12</f>
        <v>3.3333333333333332E-4</v>
      </c>
      <c r="DE54" s="928">
        <f t="shared" ref="DE54" si="1439">DD54*(DA54+CY11)</f>
        <v>3.0000000000000001E-3</v>
      </c>
      <c r="DF54" s="929">
        <f t="shared" si="1273"/>
        <v>417501.09092305362</v>
      </c>
      <c r="DG54" s="933"/>
      <c r="DH54" s="139"/>
      <c r="DJ54" s="1204"/>
      <c r="DK54" s="285" t="s">
        <v>1224</v>
      </c>
      <c r="DL54" s="114">
        <v>0.2</v>
      </c>
      <c r="DM54" s="137">
        <f t="shared" ref="DM54" si="1440">+DP50*DL54</f>
        <v>282925109.73700351</v>
      </c>
      <c r="DN54" s="115">
        <v>4.0000000000000001E-3</v>
      </c>
      <c r="DO54" s="140">
        <v>4</v>
      </c>
      <c r="DP54" s="465">
        <f t="shared" si="1275"/>
        <v>848775.32921101048</v>
      </c>
      <c r="DQ54" s="138"/>
      <c r="DR54" s="927">
        <f t="shared" ref="DR54:DR57" si="1441">+DN54/12</f>
        <v>3.3333333333333332E-4</v>
      </c>
      <c r="DS54" s="928">
        <f t="shared" ref="DS54" si="1442">DR54*(DO54+DM11)</f>
        <v>3.0000000000000001E-3</v>
      </c>
      <c r="DT54" s="929">
        <f t="shared" si="1278"/>
        <v>848775.32921101048</v>
      </c>
      <c r="DU54" s="933"/>
      <c r="DV54" s="139"/>
      <c r="DX54" s="1204"/>
      <c r="DY54" s="285" t="s">
        <v>1224</v>
      </c>
      <c r="DZ54" s="114">
        <v>0.2</v>
      </c>
      <c r="EA54" s="137">
        <f t="shared" ref="EA54" si="1443">+ED50*DZ54</f>
        <v>203215817.38659489</v>
      </c>
      <c r="EB54" s="115">
        <v>4.0000000000000001E-3</v>
      </c>
      <c r="EC54" s="140">
        <v>4</v>
      </c>
      <c r="ED54" s="465">
        <f t="shared" si="1280"/>
        <v>609647.45215978473</v>
      </c>
      <c r="EE54" s="138"/>
      <c r="EF54" s="927">
        <f t="shared" ref="EF54:EF57" si="1444">+EB54/12</f>
        <v>3.3333333333333332E-4</v>
      </c>
      <c r="EG54" s="928">
        <f t="shared" ref="EG54" si="1445">EF54*(EC54+EA11)</f>
        <v>3.0000000000000001E-3</v>
      </c>
      <c r="EH54" s="929">
        <f t="shared" si="1283"/>
        <v>609647.45215978473</v>
      </c>
      <c r="EI54" s="933"/>
      <c r="EJ54" s="139"/>
      <c r="EL54" s="1204"/>
      <c r="EM54" s="285" t="s">
        <v>1224</v>
      </c>
      <c r="EN54" s="114">
        <v>0.2</v>
      </c>
      <c r="EO54" s="137">
        <f t="shared" ref="EO54" si="1446">+ER50*EN54</f>
        <v>289505474.65559983</v>
      </c>
      <c r="EP54" s="115">
        <v>4.0000000000000001E-3</v>
      </c>
      <c r="EQ54" s="140">
        <v>4</v>
      </c>
      <c r="ER54" s="465">
        <f t="shared" si="1285"/>
        <v>868516.42396679951</v>
      </c>
      <c r="ES54" s="138"/>
      <c r="ET54" s="927">
        <f t="shared" ref="ET54:ET57" si="1447">+EP54/12</f>
        <v>3.3333333333333332E-4</v>
      </c>
      <c r="EU54" s="928">
        <f t="shared" ref="EU54" si="1448">ET54*(EQ54+EO11)</f>
        <v>3.0000000000000001E-3</v>
      </c>
      <c r="EV54" s="929">
        <f t="shared" si="1288"/>
        <v>868516.42396679951</v>
      </c>
      <c r="EW54" s="933"/>
      <c r="EX54" s="139"/>
      <c r="EZ54" s="1204"/>
      <c r="FA54" s="285" t="s">
        <v>1224</v>
      </c>
      <c r="FB54" s="114">
        <v>0.2</v>
      </c>
      <c r="FC54" s="137">
        <f t="shared" ref="FC54" si="1449">+FF50*FB54</f>
        <v>311423671.36752385</v>
      </c>
      <c r="FD54" s="115">
        <v>4.0000000000000001E-3</v>
      </c>
      <c r="FE54" s="140">
        <v>4</v>
      </c>
      <c r="FF54" s="465">
        <f t="shared" si="1290"/>
        <v>934271.01410257153</v>
      </c>
      <c r="FG54" s="138"/>
      <c r="FH54" s="927">
        <f t="shared" ref="FH54:FH57" si="1450">+FD54/12</f>
        <v>3.3333333333333332E-4</v>
      </c>
      <c r="FI54" s="928">
        <f t="shared" ref="FI54" si="1451">FH54*(FE54+FC11)</f>
        <v>3.0000000000000001E-3</v>
      </c>
      <c r="FJ54" s="929">
        <f t="shared" si="1293"/>
        <v>934271.01410257153</v>
      </c>
      <c r="FK54" s="933"/>
      <c r="FL54" s="139"/>
      <c r="FN54" s="1204"/>
      <c r="FO54" s="285" t="s">
        <v>1224</v>
      </c>
      <c r="FP54" s="114">
        <v>0.2</v>
      </c>
      <c r="FQ54" s="137">
        <f t="shared" ref="FQ54" si="1452">+FT50*FP54</f>
        <v>226585932.89695045</v>
      </c>
      <c r="FR54" s="115">
        <v>4.0000000000000001E-3</v>
      </c>
      <c r="FS54" s="140">
        <v>4</v>
      </c>
      <c r="FT54" s="465">
        <f t="shared" si="1295"/>
        <v>679757.79869085143</v>
      </c>
      <c r="FU54" s="138"/>
      <c r="FV54" s="927">
        <f t="shared" ref="FV54:FV57" si="1453">+FR54/12</f>
        <v>3.3333333333333332E-4</v>
      </c>
      <c r="FW54" s="928">
        <f t="shared" ref="FW54" si="1454">FV54*(FS54+FQ11)</f>
        <v>3.0000000000000001E-3</v>
      </c>
      <c r="FX54" s="929">
        <f t="shared" si="1298"/>
        <v>679757.79869085143</v>
      </c>
      <c r="FY54" s="933"/>
      <c r="FZ54" s="139"/>
      <c r="GB54" s="1204"/>
      <c r="GC54" s="285" t="s">
        <v>1224</v>
      </c>
      <c r="GD54" s="114">
        <v>0.2</v>
      </c>
      <c r="GE54" s="137">
        <f t="shared" ref="GE54" si="1455">+GH50*GD54</f>
        <v>175179390.80476791</v>
      </c>
      <c r="GF54" s="115">
        <v>4.0000000000000001E-3</v>
      </c>
      <c r="GG54" s="140">
        <v>4</v>
      </c>
      <c r="GH54" s="465">
        <f t="shared" si="1300"/>
        <v>525538.17241430376</v>
      </c>
      <c r="GI54" s="138"/>
      <c r="GJ54" s="927">
        <f t="shared" ref="GJ54:GJ57" si="1456">+GF54/12</f>
        <v>3.3333333333333332E-4</v>
      </c>
      <c r="GK54" s="928">
        <f t="shared" ref="GK54" si="1457">GJ54*(GG54+GE11)</f>
        <v>3.0000000000000001E-3</v>
      </c>
      <c r="GL54" s="929">
        <f t="shared" si="1303"/>
        <v>525538.17241430376</v>
      </c>
      <c r="GM54" s="933"/>
      <c r="GN54" s="139"/>
      <c r="GP54" s="1204"/>
      <c r="GQ54" s="285" t="s">
        <v>1224</v>
      </c>
      <c r="GR54" s="114">
        <v>0.2</v>
      </c>
      <c r="GS54" s="137">
        <f t="shared" ref="GS54" si="1458">+GV50*GR54</f>
        <v>109574156.65034142</v>
      </c>
      <c r="GT54" s="115">
        <v>4.0000000000000001E-3</v>
      </c>
      <c r="GU54" s="140">
        <v>4</v>
      </c>
      <c r="GV54" s="465">
        <f t="shared" si="1305"/>
        <v>328722.46995102428</v>
      </c>
      <c r="GW54" s="138"/>
      <c r="GX54" s="927">
        <f t="shared" ref="GX54:GX57" si="1459">+GT54/12</f>
        <v>3.3333333333333332E-4</v>
      </c>
      <c r="GY54" s="928">
        <f t="shared" ref="GY54" si="1460">GX54*(GU54+GS11)</f>
        <v>3.0000000000000001E-3</v>
      </c>
      <c r="GZ54" s="929">
        <f t="shared" si="1308"/>
        <v>328722.46995102428</v>
      </c>
      <c r="HA54" s="933"/>
      <c r="HB54" s="139"/>
      <c r="HD54" s="1204"/>
      <c r="HE54" s="285" t="s">
        <v>1224</v>
      </c>
      <c r="HF54" s="114">
        <v>0.2</v>
      </c>
      <c r="HG54" s="137">
        <f t="shared" ref="HG54" si="1461">+HJ50*HF54</f>
        <v>351994486.75742638</v>
      </c>
      <c r="HH54" s="115">
        <v>4.0000000000000001E-3</v>
      </c>
      <c r="HI54" s="140">
        <v>4</v>
      </c>
      <c r="HJ54" s="465">
        <f t="shared" si="1310"/>
        <v>1055983.4602722791</v>
      </c>
      <c r="HK54" s="138"/>
      <c r="HL54" s="927">
        <f t="shared" ref="HL54:HL57" si="1462">+HH54/12</f>
        <v>3.3333333333333332E-4</v>
      </c>
      <c r="HM54" s="928">
        <f t="shared" ref="HM54" si="1463">HL54*(HI54+HG11)</f>
        <v>3.0000000000000001E-3</v>
      </c>
      <c r="HN54" s="929">
        <f t="shared" si="1313"/>
        <v>1055983.4602722791</v>
      </c>
      <c r="HO54" s="933"/>
      <c r="HP54" s="139"/>
      <c r="HR54" s="1204"/>
      <c r="HS54" s="285" t="s">
        <v>1224</v>
      </c>
      <c r="HT54" s="114">
        <v>0.2</v>
      </c>
      <c r="HU54" s="137">
        <f t="shared" ref="HU54" si="1464">+HX50*HT54</f>
        <v>123637631.42410362</v>
      </c>
      <c r="HV54" s="115">
        <v>4.0000000000000001E-3</v>
      </c>
      <c r="HW54" s="140">
        <v>4</v>
      </c>
      <c r="HX54" s="465">
        <f t="shared" si="1315"/>
        <v>370912.89427231083</v>
      </c>
      <c r="HY54" s="138"/>
      <c r="HZ54" s="927">
        <f t="shared" ref="HZ54:HZ57" si="1465">+HV54/12</f>
        <v>3.3333333333333332E-4</v>
      </c>
      <c r="IA54" s="928">
        <f t="shared" ref="IA54" si="1466">HZ54*(HW54+HU11)</f>
        <v>3.0000000000000001E-3</v>
      </c>
      <c r="IB54" s="929">
        <f t="shared" si="1318"/>
        <v>370912.89427231083</v>
      </c>
      <c r="IC54" s="933"/>
      <c r="ID54" s="139"/>
      <c r="IF54" s="1204"/>
      <c r="IG54" s="285" t="s">
        <v>1224</v>
      </c>
      <c r="IH54" s="114">
        <v>0.2</v>
      </c>
      <c r="II54" s="137">
        <f t="shared" ref="II54" si="1467">+IL50*IH54</f>
        <v>83162837.686415553</v>
      </c>
      <c r="IJ54" s="115">
        <v>4.0000000000000001E-3</v>
      </c>
      <c r="IK54" s="140">
        <v>4</v>
      </c>
      <c r="IL54" s="465">
        <f t="shared" si="1320"/>
        <v>249488.51305924667</v>
      </c>
      <c r="IM54" s="138"/>
      <c r="IN54" s="927">
        <f t="shared" ref="IN54:IN57" si="1468">+IJ54/12</f>
        <v>3.3333333333333332E-4</v>
      </c>
      <c r="IO54" s="928">
        <f t="shared" ref="IO54" si="1469">IN54*(IK54+II11)</f>
        <v>3.0000000000000001E-3</v>
      </c>
      <c r="IP54" s="929">
        <f t="shared" si="1323"/>
        <v>249488.51305924667</v>
      </c>
      <c r="IQ54" s="933"/>
      <c r="IR54" s="139"/>
      <c r="IT54" s="1204"/>
      <c r="IU54" s="285" t="s">
        <v>1224</v>
      </c>
      <c r="IV54" s="114">
        <v>0.2</v>
      </c>
      <c r="IW54" s="137">
        <f t="shared" ref="IW54" si="1470">+IZ50*IV54</f>
        <v>517141111.58061934</v>
      </c>
      <c r="IX54" s="115">
        <v>4.0000000000000001E-3</v>
      </c>
      <c r="IY54" s="140">
        <v>4</v>
      </c>
      <c r="IZ54" s="465">
        <f t="shared" si="1325"/>
        <v>1551423.3347418581</v>
      </c>
      <c r="JA54" s="138"/>
      <c r="JB54" s="927">
        <f t="shared" ref="JB54:JB57" si="1471">+IX54/12</f>
        <v>3.3333333333333332E-4</v>
      </c>
      <c r="JC54" s="928">
        <f t="shared" ref="JC54" si="1472">JB54*(IY54+IW11)</f>
        <v>3.0000000000000001E-3</v>
      </c>
      <c r="JD54" s="929">
        <f t="shared" si="1328"/>
        <v>1551423.3347418581</v>
      </c>
      <c r="JE54" s="933"/>
      <c r="JF54" s="139"/>
      <c r="JH54" s="1204"/>
      <c r="JI54" s="285" t="s">
        <v>1224</v>
      </c>
      <c r="JJ54" s="114">
        <v>0.2</v>
      </c>
      <c r="JK54" s="137">
        <f>+JN50*JJ54</f>
        <v>600303949.26703489</v>
      </c>
      <c r="JL54" s="115">
        <v>4.0000000000000001E-3</v>
      </c>
      <c r="JM54" s="140">
        <v>4</v>
      </c>
      <c r="JN54" s="465">
        <f t="shared" si="1329"/>
        <v>1800911.8478011047</v>
      </c>
      <c r="JO54" s="138"/>
      <c r="JP54" s="927">
        <f t="shared" ref="JP54:JP57" si="1473">+JL54/12</f>
        <v>3.3333333333333332E-4</v>
      </c>
      <c r="JQ54" s="928">
        <f t="shared" ref="JQ54" si="1474">JP54*(JM54+JK11)</f>
        <v>3.0000000000000001E-3</v>
      </c>
      <c r="JR54" s="929">
        <f t="shared" si="1332"/>
        <v>1800911.8478011047</v>
      </c>
      <c r="JS54" s="933"/>
      <c r="JT54" s="139"/>
      <c r="JV54" s="1204"/>
      <c r="JW54" s="285" t="s">
        <v>1224</v>
      </c>
      <c r="JX54" s="114">
        <v>0.2</v>
      </c>
      <c r="JY54" s="137">
        <f t="shared" ref="JY54" si="1475">+KB50*JX54</f>
        <v>174236972.58227843</v>
      </c>
      <c r="JZ54" s="115">
        <v>4.0000000000000001E-3</v>
      </c>
      <c r="KA54" s="140">
        <v>4</v>
      </c>
      <c r="KB54" s="465">
        <f t="shared" si="1334"/>
        <v>522710.91774683533</v>
      </c>
      <c r="KC54" s="138"/>
      <c r="KD54" s="927">
        <f t="shared" ref="KD54:KD57" si="1476">+JZ54/12</f>
        <v>3.3333333333333332E-4</v>
      </c>
      <c r="KE54" s="928">
        <f t="shared" ref="KE54" si="1477">KD54*(KA54+JY11)</f>
        <v>3.0000000000000001E-3</v>
      </c>
      <c r="KF54" s="929">
        <f t="shared" si="1337"/>
        <v>522710.91774683533</v>
      </c>
      <c r="KG54" s="933"/>
      <c r="KH54" s="139"/>
      <c r="KJ54" s="1204"/>
      <c r="KK54" s="285" t="s">
        <v>1224</v>
      </c>
      <c r="KL54" s="114">
        <v>0.2</v>
      </c>
      <c r="KM54" s="137">
        <f t="shared" ref="KM54" si="1478">+KP50*KL54</f>
        <v>104772781.422683</v>
      </c>
      <c r="KN54" s="115">
        <v>4.0000000000000001E-3</v>
      </c>
      <c r="KO54" s="140">
        <v>4</v>
      </c>
      <c r="KP54" s="465">
        <f t="shared" si="1339"/>
        <v>314318.344268049</v>
      </c>
      <c r="KQ54" s="138"/>
      <c r="KR54" s="927">
        <f t="shared" ref="KR54:KR57" si="1479">+KN54/12</f>
        <v>3.3333333333333332E-4</v>
      </c>
      <c r="KS54" s="928">
        <f t="shared" ref="KS54" si="1480">KR54*(KO54+KM11)</f>
        <v>3.0000000000000001E-3</v>
      </c>
      <c r="KT54" s="929">
        <f t="shared" si="1342"/>
        <v>314318.344268049</v>
      </c>
      <c r="KU54" s="933"/>
      <c r="KV54" s="139"/>
      <c r="KX54" s="1204"/>
      <c r="KY54" s="285" t="s">
        <v>1224</v>
      </c>
      <c r="KZ54" s="114">
        <v>0.2</v>
      </c>
      <c r="LA54" s="137">
        <f t="shared" ref="LA54" si="1481">+LD50*KZ54</f>
        <v>85229693.096634373</v>
      </c>
      <c r="LB54" s="115">
        <v>4.0000000000000001E-3</v>
      </c>
      <c r="LC54" s="140">
        <v>4</v>
      </c>
      <c r="LD54" s="465">
        <f t="shared" si="1344"/>
        <v>255689.07928990314</v>
      </c>
      <c r="LE54" s="138"/>
      <c r="LF54" s="927">
        <f t="shared" ref="LF54:LF57" si="1482">+LB54/12</f>
        <v>3.3333333333333332E-4</v>
      </c>
      <c r="LG54" s="928">
        <f t="shared" ref="LG54" si="1483">LF54*(LC54+LA11)</f>
        <v>3.0000000000000001E-3</v>
      </c>
      <c r="LH54" s="929">
        <f t="shared" si="1347"/>
        <v>255689.07928990314</v>
      </c>
      <c r="LI54" s="933"/>
      <c r="LJ54" s="139"/>
      <c r="LL54" s="1204"/>
      <c r="LM54" s="285" t="s">
        <v>1224</v>
      </c>
      <c r="LN54" s="114">
        <v>0.2</v>
      </c>
      <c r="LO54" s="137">
        <f t="shared" ref="LO54" si="1484">+LR50*LN54</f>
        <v>222990530.51074186</v>
      </c>
      <c r="LP54" s="115">
        <v>4.0000000000000001E-3</v>
      </c>
      <c r="LQ54" s="140">
        <v>4</v>
      </c>
      <c r="LR54" s="465">
        <f t="shared" si="1349"/>
        <v>668971.5915322256</v>
      </c>
      <c r="LS54" s="138"/>
      <c r="LT54" s="927">
        <f t="shared" ref="LT54:LT57" si="1485">+LP54/12</f>
        <v>3.3333333333333332E-4</v>
      </c>
      <c r="LU54" s="928">
        <f t="shared" ref="LU54" si="1486">LT54*(LQ54+LO11)</f>
        <v>3.0000000000000001E-3</v>
      </c>
      <c r="LV54" s="929">
        <f t="shared" si="1352"/>
        <v>668971.5915322256</v>
      </c>
      <c r="LW54" s="933"/>
      <c r="LX54" s="139"/>
      <c r="LZ54" s="1204"/>
      <c r="MA54" s="285" t="s">
        <v>1224</v>
      </c>
      <c r="MB54" s="114">
        <v>0.2</v>
      </c>
      <c r="MC54" s="137">
        <f t="shared" ref="MC54" si="1487">+MF50*MB54</f>
        <v>221192829.31763759</v>
      </c>
      <c r="MD54" s="115">
        <v>4.0000000000000001E-3</v>
      </c>
      <c r="ME54" s="140">
        <v>4</v>
      </c>
      <c r="MF54" s="465">
        <f t="shared" si="1354"/>
        <v>663578.48795291281</v>
      </c>
      <c r="MG54" s="138"/>
      <c r="MH54" s="927">
        <f t="shared" ref="MH54:MH57" si="1488">+MD54/12</f>
        <v>3.3333333333333332E-4</v>
      </c>
      <c r="MI54" s="928">
        <f t="shared" ref="MI54" si="1489">MH54*(ME54+MC11)</f>
        <v>3.0000000000000001E-3</v>
      </c>
      <c r="MJ54" s="929">
        <f t="shared" si="1357"/>
        <v>663578.48795291281</v>
      </c>
      <c r="MK54" s="933"/>
      <c r="ML54" s="139"/>
      <c r="MN54" s="1204"/>
      <c r="MO54" s="285" t="s">
        <v>1224</v>
      </c>
      <c r="MP54" s="114">
        <v>0.2</v>
      </c>
      <c r="MQ54" s="137">
        <f t="shared" ref="MQ54" si="1490">+MT50*MP54</f>
        <v>226340518.22097036</v>
      </c>
      <c r="MR54" s="115">
        <v>4.0000000000000001E-3</v>
      </c>
      <c r="MS54" s="140">
        <v>4</v>
      </c>
      <c r="MT54" s="465">
        <f t="shared" si="1359"/>
        <v>679021.5546629111</v>
      </c>
      <c r="MU54" s="138"/>
      <c r="MV54" s="927">
        <f t="shared" ref="MV54:MV57" si="1491">+MR54/12</f>
        <v>3.3333333333333332E-4</v>
      </c>
      <c r="MW54" s="928">
        <f t="shared" ref="MW54" si="1492">MV54*(MS54+MQ11)</f>
        <v>3.0000000000000001E-3</v>
      </c>
      <c r="MX54" s="929">
        <f t="shared" si="1362"/>
        <v>679021.5546629111</v>
      </c>
      <c r="MY54" s="933"/>
      <c r="MZ54" s="139"/>
      <c r="NB54" s="1204"/>
      <c r="NC54" s="285" t="s">
        <v>1224</v>
      </c>
      <c r="ND54" s="114">
        <v>0.2</v>
      </c>
      <c r="NE54" s="137">
        <f t="shared" ref="NE54" si="1493">+NH50*ND54</f>
        <v>433170402.20873016</v>
      </c>
      <c r="NF54" s="115">
        <v>4.0000000000000001E-3</v>
      </c>
      <c r="NG54" s="140">
        <v>4</v>
      </c>
      <c r="NH54" s="465">
        <f t="shared" si="1364"/>
        <v>1299511.2066261906</v>
      </c>
      <c r="NI54" s="138"/>
      <c r="NJ54" s="927">
        <f t="shared" ref="NJ54:NJ57" si="1494">+NF54/12</f>
        <v>3.3333333333333332E-4</v>
      </c>
      <c r="NK54" s="928">
        <f t="shared" ref="NK54" si="1495">NJ54*(NG54+NE11)</f>
        <v>3.0000000000000001E-3</v>
      </c>
      <c r="NL54" s="929">
        <f t="shared" si="1367"/>
        <v>1299511.2066261906</v>
      </c>
      <c r="NM54" s="933"/>
      <c r="NN54" s="139"/>
      <c r="NP54" s="1204"/>
      <c r="NQ54" s="285" t="s">
        <v>1224</v>
      </c>
      <c r="NR54" s="114">
        <v>0.2</v>
      </c>
      <c r="NS54" s="137">
        <f t="shared" ref="NS54" si="1496">+NV50*NR54</f>
        <v>68955706.032562479</v>
      </c>
      <c r="NT54" s="115">
        <v>4.0000000000000001E-3</v>
      </c>
      <c r="NU54" s="140">
        <v>4</v>
      </c>
      <c r="NV54" s="465">
        <f t="shared" si="1369"/>
        <v>206867.11809768743</v>
      </c>
      <c r="NW54" s="138"/>
      <c r="NX54" s="927">
        <f t="shared" ref="NX54:NX57" si="1497">+NT54/12</f>
        <v>3.3333333333333332E-4</v>
      </c>
      <c r="NY54" s="928">
        <f t="shared" ref="NY54" si="1498">NX54*(NU54+NS11)</f>
        <v>3.0000000000000001E-3</v>
      </c>
      <c r="NZ54" s="929">
        <f t="shared" si="1372"/>
        <v>206867.11809768743</v>
      </c>
      <c r="OA54" s="933"/>
      <c r="OB54" s="139"/>
      <c r="OD54" s="1204"/>
      <c r="OE54" s="285" t="s">
        <v>1224</v>
      </c>
      <c r="OF54" s="114">
        <v>0.2</v>
      </c>
      <c r="OG54" s="137">
        <f t="shared" ref="OG54" si="1499">+OJ50*OF54</f>
        <v>89868630.055529818</v>
      </c>
      <c r="OH54" s="115">
        <v>4.0000000000000001E-3</v>
      </c>
      <c r="OI54" s="140">
        <v>4</v>
      </c>
      <c r="OJ54" s="465">
        <f t="shared" si="1374"/>
        <v>269605.89016658947</v>
      </c>
      <c r="OK54" s="138"/>
      <c r="OL54" s="927">
        <f t="shared" ref="OL54:OL57" si="1500">+OH54/12</f>
        <v>3.3333333333333332E-4</v>
      </c>
      <c r="OM54" s="928">
        <f t="shared" ref="OM54" si="1501">OL54*(OI54+OG11)</f>
        <v>3.0000000000000001E-3</v>
      </c>
      <c r="ON54" s="929">
        <f t="shared" si="1377"/>
        <v>269605.89016658947</v>
      </c>
      <c r="OO54" s="933"/>
      <c r="OP54" s="139"/>
      <c r="OR54" s="1204"/>
      <c r="OS54" s="285" t="s">
        <v>1224</v>
      </c>
      <c r="OT54" s="114">
        <v>0.2</v>
      </c>
      <c r="OU54" s="137">
        <f t="shared" ref="OU54" si="1502">+OX50*OT54</f>
        <v>113538731.6377143</v>
      </c>
      <c r="OV54" s="115">
        <v>4.0000000000000001E-3</v>
      </c>
      <c r="OW54" s="140">
        <v>4</v>
      </c>
      <c r="OX54" s="465">
        <f t="shared" si="1379"/>
        <v>340616.19491314288</v>
      </c>
      <c r="OY54" s="138"/>
      <c r="OZ54" s="927">
        <f t="shared" ref="OZ54:OZ57" si="1503">+OV54/12</f>
        <v>3.3333333333333332E-4</v>
      </c>
      <c r="PA54" s="928">
        <f t="shared" ref="PA54" si="1504">OZ54*(OW54+OU11)</f>
        <v>3.0000000000000001E-3</v>
      </c>
      <c r="PB54" s="929">
        <f t="shared" si="1382"/>
        <v>340616.19491314288</v>
      </c>
      <c r="PC54" s="933"/>
      <c r="PD54" s="139"/>
      <c r="PF54" s="1204"/>
      <c r="PG54" s="285" t="s">
        <v>1224</v>
      </c>
      <c r="PH54" s="114">
        <v>0.2</v>
      </c>
      <c r="PI54" s="137">
        <f t="shared" ref="PI54" si="1505">+PL50*PH54</f>
        <v>28872448.537686396</v>
      </c>
      <c r="PJ54" s="115">
        <v>4.0000000000000001E-3</v>
      </c>
      <c r="PK54" s="140">
        <v>4</v>
      </c>
      <c r="PL54" s="465">
        <f t="shared" si="1384"/>
        <v>86617.345613059195</v>
      </c>
      <c r="PM54" s="138"/>
      <c r="PN54" s="927">
        <f t="shared" ref="PN54:PN57" si="1506">+PJ54/12</f>
        <v>3.3333333333333332E-4</v>
      </c>
      <c r="PO54" s="928">
        <f t="shared" ref="PO54" si="1507">PN54*(PK54+PI11)</f>
        <v>3.0000000000000001E-3</v>
      </c>
      <c r="PP54" s="929">
        <f t="shared" si="1387"/>
        <v>86617.345613059195</v>
      </c>
      <c r="PQ54" s="933"/>
      <c r="PR54" s="139"/>
      <c r="PT54" s="1204"/>
      <c r="PU54" s="285" t="s">
        <v>1224</v>
      </c>
      <c r="PV54" s="114">
        <v>0.2</v>
      </c>
      <c r="PW54" s="137">
        <f t="shared" ref="PW54" si="1508">+PZ50*PV54</f>
        <v>44557201.470463991</v>
      </c>
      <c r="PX54" s="115">
        <v>4.0000000000000001E-3</v>
      </c>
      <c r="PY54" s="140">
        <v>4</v>
      </c>
      <c r="PZ54" s="465">
        <f t="shared" si="1389"/>
        <v>133671.60441139198</v>
      </c>
      <c r="QA54" s="138"/>
      <c r="QB54" s="927">
        <f t="shared" ref="QB54:QB57" si="1509">+PX54/12</f>
        <v>3.3333333333333332E-4</v>
      </c>
      <c r="QC54" s="928">
        <f t="shared" ref="QC54" si="1510">QB54*(PY54+PW11)</f>
        <v>3.0000000000000001E-3</v>
      </c>
      <c r="QD54" s="929">
        <f t="shared" si="1392"/>
        <v>133671.60441139198</v>
      </c>
      <c r="QE54" s="933"/>
      <c r="QF54" s="139"/>
      <c r="QH54" s="1204"/>
      <c r="QI54" s="285" t="s">
        <v>1224</v>
      </c>
      <c r="QJ54" s="114">
        <v>0.2</v>
      </c>
      <c r="QK54" s="137">
        <f t="shared" ref="QK54" si="1511">+QN50*QJ54</f>
        <v>16673196.25663716</v>
      </c>
      <c r="QL54" s="115">
        <v>4.0000000000000001E-3</v>
      </c>
      <c r="QM54" s="140">
        <v>4</v>
      </c>
      <c r="QN54" s="465">
        <f t="shared" si="1394"/>
        <v>50019.588769911483</v>
      </c>
      <c r="QO54" s="138"/>
      <c r="QP54" s="927">
        <f t="shared" ref="QP54:QP57" si="1512">+QL54/12</f>
        <v>3.3333333333333332E-4</v>
      </c>
      <c r="QQ54" s="928">
        <f t="shared" ref="QQ54" si="1513">QP54*(QM54+QK11)</f>
        <v>3.0000000000000001E-3</v>
      </c>
      <c r="QR54" s="929">
        <f t="shared" si="1397"/>
        <v>50019.588769911483</v>
      </c>
      <c r="QS54" s="933"/>
      <c r="QT54" s="139"/>
      <c r="QV54" s="1204"/>
      <c r="QW54" s="285" t="s">
        <v>1224</v>
      </c>
      <c r="QX54" s="114">
        <v>0.2</v>
      </c>
      <c r="QY54" s="137">
        <f t="shared" ref="QY54" si="1514">+RB50*QX54</f>
        <v>37586200.167007282</v>
      </c>
      <c r="QZ54" s="115">
        <v>4.0000000000000001E-3</v>
      </c>
      <c r="RA54" s="140">
        <v>4</v>
      </c>
      <c r="RB54" s="465">
        <f t="shared" si="1399"/>
        <v>112758.60050102185</v>
      </c>
      <c r="RC54" s="138"/>
      <c r="RD54" s="927">
        <f t="shared" ref="RD54:RD57" si="1515">+QZ54/12</f>
        <v>3.3333333333333332E-4</v>
      </c>
      <c r="RE54" s="928">
        <f t="shared" ref="RE54" si="1516">RD54*(RA54+QY11)</f>
        <v>3.0000000000000001E-3</v>
      </c>
      <c r="RF54" s="929">
        <f t="shared" si="1402"/>
        <v>112758.60050102185</v>
      </c>
      <c r="RG54" s="933"/>
      <c r="RH54" s="139"/>
      <c r="RJ54" s="1204"/>
      <c r="RK54" s="285" t="s">
        <v>1224</v>
      </c>
      <c r="RL54" s="114">
        <v>0.2</v>
      </c>
      <c r="RM54" s="137">
        <f t="shared" ref="RM54" si="1517">+RP50*RL54</f>
        <v>16717989.818269491</v>
      </c>
      <c r="RN54" s="115">
        <v>4.0000000000000001E-3</v>
      </c>
      <c r="RO54" s="140">
        <v>4</v>
      </c>
      <c r="RP54" s="465">
        <f t="shared" si="1404"/>
        <v>50153.969454808474</v>
      </c>
      <c r="RQ54" s="138"/>
      <c r="RR54" s="927">
        <f t="shared" ref="RR54:RR57" si="1518">+RN54/12</f>
        <v>3.3333333333333332E-4</v>
      </c>
      <c r="RS54" s="928">
        <f t="shared" ref="RS54" si="1519">RR54*(RO54+RM11)</f>
        <v>3.0000000000000001E-3</v>
      </c>
      <c r="RT54" s="929">
        <f t="shared" si="1407"/>
        <v>50153.969454808474</v>
      </c>
      <c r="RU54" s="933"/>
      <c r="RV54" s="139"/>
      <c r="RX54" s="1204"/>
      <c r="RY54" s="285" t="s">
        <v>1224</v>
      </c>
      <c r="RZ54" s="114">
        <v>0.2</v>
      </c>
      <c r="SA54" s="137">
        <f t="shared" ref="SA54" si="1520">+SD50*RZ54</f>
        <v>25386947.885958046</v>
      </c>
      <c r="SB54" s="115">
        <v>4.0000000000000001E-3</v>
      </c>
      <c r="SC54" s="140">
        <v>4</v>
      </c>
      <c r="SD54" s="465">
        <f t="shared" si="1409"/>
        <v>76160.843657874138</v>
      </c>
      <c r="SE54" s="138"/>
      <c r="SF54" s="927">
        <f t="shared" ref="SF54:SF57" si="1521">+SB54/12</f>
        <v>3.3333333333333332E-4</v>
      </c>
      <c r="SG54" s="928">
        <f t="shared" ref="SG54" si="1522">SF54*(SC54+SA11)</f>
        <v>3.0000000000000001E-3</v>
      </c>
      <c r="SH54" s="929">
        <f t="shared" si="1412"/>
        <v>76160.843657874138</v>
      </c>
      <c r="SI54" s="933"/>
      <c r="SJ54" s="139"/>
      <c r="SL54" s="1204"/>
      <c r="SM54" s="285" t="s">
        <v>1224</v>
      </c>
      <c r="SN54" s="114">
        <v>0.2</v>
      </c>
      <c r="SO54" s="137">
        <f t="shared" ref="SO54" si="1523">+SR50*SN54</f>
        <v>0</v>
      </c>
      <c r="SP54" s="115">
        <v>4.0000000000000001E-3</v>
      </c>
      <c r="SQ54" s="140">
        <v>4</v>
      </c>
      <c r="SR54" s="465">
        <f t="shared" si="1414"/>
        <v>0</v>
      </c>
      <c r="SS54" s="138"/>
      <c r="ST54" s="927">
        <f t="shared" ref="ST54:ST57" si="1524">+SP54/12</f>
        <v>3.3333333333333332E-4</v>
      </c>
      <c r="SU54" s="928">
        <f t="shared" ref="SU54" si="1525">ST54*(SQ54+SO11)</f>
        <v>3.0000000000000001E-3</v>
      </c>
      <c r="SV54" s="929">
        <f t="shared" si="1417"/>
        <v>0</v>
      </c>
      <c r="SW54" s="933"/>
      <c r="SX54" s="139"/>
      <c r="SZ54" s="1204"/>
      <c r="TA54" s="285" t="s">
        <v>1224</v>
      </c>
      <c r="TB54" s="114">
        <v>0.2</v>
      </c>
      <c r="TC54" s="137">
        <f t="shared" ref="TC54" si="1526">+TF50*TB54</f>
        <v>6450963532.849535</v>
      </c>
      <c r="TD54" s="115">
        <v>4.0000000000000001E-3</v>
      </c>
      <c r="TE54" s="140">
        <v>4</v>
      </c>
      <c r="TF54" s="465">
        <f t="shared" si="1419"/>
        <v>19352890.598548606</v>
      </c>
      <c r="TG54" s="138"/>
      <c r="TH54" s="927">
        <f t="shared" ref="TH54:TH57" si="1527">+TD54/12</f>
        <v>3.3333333333333332E-4</v>
      </c>
      <c r="TI54" s="928">
        <f t="shared" ref="TI54" si="1528">TH54*(TE54+TC11)</f>
        <v>3.0000000000000001E-3</v>
      </c>
      <c r="TJ54" s="929">
        <f t="shared" si="1422"/>
        <v>19352890.598548606</v>
      </c>
      <c r="TK54" s="933"/>
      <c r="TL54" s="139"/>
    </row>
    <row r="55" spans="2:532" ht="18.75" customHeight="1">
      <c r="B55" s="1204"/>
      <c r="C55" s="285" t="s">
        <v>1225</v>
      </c>
      <c r="D55" s="114">
        <v>0.1</v>
      </c>
      <c r="E55" s="137">
        <f>+H50*D55</f>
        <v>289970891.70897168</v>
      </c>
      <c r="F55" s="115">
        <v>3.0000000000000001E-3</v>
      </c>
      <c r="G55" s="140">
        <v>36</v>
      </c>
      <c r="H55" s="465">
        <f>L55</f>
        <v>2972201.64001696</v>
      </c>
      <c r="I55" s="138"/>
      <c r="J55" s="927">
        <f>+F55/12</f>
        <v>2.5000000000000001E-4</v>
      </c>
      <c r="K55" s="928">
        <f>J55*(G55+E11)</f>
        <v>1.025E-2</v>
      </c>
      <c r="L55" s="929">
        <f>K55*E55</f>
        <v>2972201.64001696</v>
      </c>
      <c r="M55" s="933"/>
      <c r="N55" s="139"/>
      <c r="P55" s="1204"/>
      <c r="Q55" s="285" t="s">
        <v>1225</v>
      </c>
      <c r="R55" s="114">
        <v>0.1</v>
      </c>
      <c r="S55" s="137">
        <f>+V50*R55</f>
        <v>68179399.962353095</v>
      </c>
      <c r="T55" s="115">
        <v>3.0000000000000001E-3</v>
      </c>
      <c r="U55" s="140">
        <v>36</v>
      </c>
      <c r="V55" s="465">
        <f t="shared" si="1243"/>
        <v>698838.84961411927</v>
      </c>
      <c r="W55" s="138"/>
      <c r="X55" s="927">
        <f t="shared" si="1423"/>
        <v>2.5000000000000001E-4</v>
      </c>
      <c r="Y55" s="928">
        <f t="shared" ref="Y55" si="1529">X55*(U55+S11)</f>
        <v>1.025E-2</v>
      </c>
      <c r="Z55" s="929">
        <f t="shared" si="1246"/>
        <v>698838.84961411927</v>
      </c>
      <c r="AA55" s="933"/>
      <c r="AB55" s="139"/>
      <c r="AD55" s="1204"/>
      <c r="AE55" s="285" t="s">
        <v>1225</v>
      </c>
      <c r="AF55" s="114">
        <v>0.1</v>
      </c>
      <c r="AG55" s="137">
        <f>+AJ50*AF55</f>
        <v>358150291.67132473</v>
      </c>
      <c r="AH55" s="115">
        <v>3.0000000000000001E-3</v>
      </c>
      <c r="AI55" s="140">
        <v>36</v>
      </c>
      <c r="AJ55" s="465">
        <f t="shared" si="1247"/>
        <v>3671040.4896310787</v>
      </c>
      <c r="AK55" s="138"/>
      <c r="AL55" s="927">
        <f t="shared" si="1425"/>
        <v>2.5000000000000001E-4</v>
      </c>
      <c r="AM55" s="928">
        <f t="shared" ref="AM55" si="1530">AL55*(AI55+AG11)</f>
        <v>1.025E-2</v>
      </c>
      <c r="AN55" s="929">
        <f t="shared" si="1250"/>
        <v>3671040.4896310787</v>
      </c>
      <c r="AO55" s="933"/>
      <c r="AP55" s="139"/>
      <c r="AR55" s="1204"/>
      <c r="AS55" s="285" t="s">
        <v>1225</v>
      </c>
      <c r="AT55" s="114">
        <v>0.1</v>
      </c>
      <c r="AU55" s="137">
        <f>+AX50*AT55</f>
        <v>103405609.88640171</v>
      </c>
      <c r="AV55" s="115">
        <v>3.0000000000000001E-3</v>
      </c>
      <c r="AW55" s="140">
        <v>36</v>
      </c>
      <c r="AX55" s="465">
        <f t="shared" si="1251"/>
        <v>1059907.5013356176</v>
      </c>
      <c r="AY55" s="138"/>
      <c r="AZ55" s="927">
        <f t="shared" si="1427"/>
        <v>2.5000000000000001E-4</v>
      </c>
      <c r="BA55" s="928">
        <f t="shared" ref="BA55" si="1531">AZ55*(AW55+AU11)</f>
        <v>1.025E-2</v>
      </c>
      <c r="BB55" s="929">
        <f t="shared" si="1254"/>
        <v>1059907.5013356176</v>
      </c>
      <c r="BC55" s="933"/>
      <c r="BD55" s="139"/>
      <c r="BF55" s="1204"/>
      <c r="BG55" s="285" t="s">
        <v>1225</v>
      </c>
      <c r="BH55" s="114">
        <v>0.1</v>
      </c>
      <c r="BI55" s="137">
        <f>+BL50*BH55</f>
        <v>148348139.71400851</v>
      </c>
      <c r="BJ55" s="115">
        <v>3.0000000000000001E-3</v>
      </c>
      <c r="BK55" s="140">
        <v>36</v>
      </c>
      <c r="BL55" s="465">
        <f t="shared" si="1255"/>
        <v>1520568.4320685873</v>
      </c>
      <c r="BM55" s="138"/>
      <c r="BN55" s="927">
        <f t="shared" si="1429"/>
        <v>2.5000000000000001E-4</v>
      </c>
      <c r="BO55" s="928">
        <f t="shared" ref="BO55" si="1532">BN55*(BK55+BI11)</f>
        <v>1.025E-2</v>
      </c>
      <c r="BP55" s="929">
        <f t="shared" si="1258"/>
        <v>1520568.4320685873</v>
      </c>
      <c r="BQ55" s="933"/>
      <c r="BR55" s="139"/>
      <c r="BT55" s="1204"/>
      <c r="BU55" s="285" t="s">
        <v>1225</v>
      </c>
      <c r="BV55" s="114">
        <v>0.1</v>
      </c>
      <c r="BW55" s="137">
        <f t="shared" ref="BW55" si="1533">+BZ50*BV55</f>
        <v>126914509.45211041</v>
      </c>
      <c r="BX55" s="115">
        <v>3.0000000000000001E-3</v>
      </c>
      <c r="BY55" s="140">
        <v>36</v>
      </c>
      <c r="BZ55" s="465">
        <f t="shared" si="1260"/>
        <v>1300873.7218841317</v>
      </c>
      <c r="CA55" s="138"/>
      <c r="CB55" s="927">
        <f t="shared" si="1432"/>
        <v>2.5000000000000001E-4</v>
      </c>
      <c r="CC55" s="928">
        <f t="shared" ref="CC55" si="1534">CB55*(BY55+BW11)</f>
        <v>1.025E-2</v>
      </c>
      <c r="CD55" s="929">
        <f t="shared" si="1263"/>
        <v>1300873.7218841317</v>
      </c>
      <c r="CE55" s="933"/>
      <c r="CF55" s="139"/>
      <c r="CH55" s="1204"/>
      <c r="CI55" s="285" t="s">
        <v>1225</v>
      </c>
      <c r="CJ55" s="114">
        <v>0.1</v>
      </c>
      <c r="CK55" s="137">
        <f t="shared" ref="CK55" si="1535">+CN50*CJ55</f>
        <v>126861500.46265423</v>
      </c>
      <c r="CL55" s="115">
        <v>3.0000000000000001E-3</v>
      </c>
      <c r="CM55" s="140">
        <v>36</v>
      </c>
      <c r="CN55" s="465">
        <f t="shared" si="1265"/>
        <v>1300330.3797422058</v>
      </c>
      <c r="CO55" s="138"/>
      <c r="CP55" s="927">
        <f t="shared" si="1435"/>
        <v>2.5000000000000001E-4</v>
      </c>
      <c r="CQ55" s="928">
        <f t="shared" ref="CQ55" si="1536">CP55*(CM55+CK11)</f>
        <v>1.025E-2</v>
      </c>
      <c r="CR55" s="929">
        <f t="shared" si="1268"/>
        <v>1300330.3797422058</v>
      </c>
      <c r="CS55" s="933"/>
      <c r="CT55" s="139"/>
      <c r="CV55" s="1204"/>
      <c r="CW55" s="285" t="s">
        <v>1225</v>
      </c>
      <c r="CX55" s="114">
        <v>0.1</v>
      </c>
      <c r="CY55" s="137">
        <f t="shared" ref="CY55" si="1537">+DB50*CX55</f>
        <v>69583515.15384227</v>
      </c>
      <c r="CZ55" s="115">
        <v>3.0000000000000001E-3</v>
      </c>
      <c r="DA55" s="140">
        <v>36</v>
      </c>
      <c r="DB55" s="465">
        <f t="shared" si="1270"/>
        <v>713231.03032688331</v>
      </c>
      <c r="DC55" s="138"/>
      <c r="DD55" s="927">
        <f t="shared" si="1438"/>
        <v>2.5000000000000001E-4</v>
      </c>
      <c r="DE55" s="928">
        <f t="shared" ref="DE55" si="1538">DD55*(DA55+CY11)</f>
        <v>1.025E-2</v>
      </c>
      <c r="DF55" s="929">
        <f t="shared" si="1273"/>
        <v>713231.03032688331</v>
      </c>
      <c r="DG55" s="933"/>
      <c r="DH55" s="139"/>
      <c r="DJ55" s="1204"/>
      <c r="DK55" s="285" t="s">
        <v>1225</v>
      </c>
      <c r="DL55" s="114">
        <v>0.1</v>
      </c>
      <c r="DM55" s="137">
        <f t="shared" ref="DM55" si="1539">+DP50*DL55</f>
        <v>141462554.86850175</v>
      </c>
      <c r="DN55" s="115">
        <v>3.0000000000000001E-3</v>
      </c>
      <c r="DO55" s="140">
        <v>36</v>
      </c>
      <c r="DP55" s="465">
        <f t="shared" si="1275"/>
        <v>1449991.1874021429</v>
      </c>
      <c r="DQ55" s="138"/>
      <c r="DR55" s="927">
        <f t="shared" si="1441"/>
        <v>2.5000000000000001E-4</v>
      </c>
      <c r="DS55" s="928">
        <f t="shared" ref="DS55" si="1540">DR55*(DO55+DM11)</f>
        <v>1.025E-2</v>
      </c>
      <c r="DT55" s="929">
        <f t="shared" si="1278"/>
        <v>1449991.1874021429</v>
      </c>
      <c r="DU55" s="933"/>
      <c r="DV55" s="139"/>
      <c r="DX55" s="1204"/>
      <c r="DY55" s="285" t="s">
        <v>1225</v>
      </c>
      <c r="DZ55" s="114">
        <v>0.1</v>
      </c>
      <c r="EA55" s="137">
        <f t="shared" ref="EA55" si="1541">+ED50*DZ55</f>
        <v>101607908.69329745</v>
      </c>
      <c r="EB55" s="115">
        <v>3.0000000000000001E-3</v>
      </c>
      <c r="EC55" s="140">
        <v>36</v>
      </c>
      <c r="ED55" s="465">
        <f t="shared" si="1280"/>
        <v>1041481.0641062988</v>
      </c>
      <c r="EE55" s="138"/>
      <c r="EF55" s="927">
        <f t="shared" si="1444"/>
        <v>2.5000000000000001E-4</v>
      </c>
      <c r="EG55" s="928">
        <f t="shared" ref="EG55" si="1542">EF55*(EC55+EA11)</f>
        <v>1.025E-2</v>
      </c>
      <c r="EH55" s="929">
        <f t="shared" si="1283"/>
        <v>1041481.0641062988</v>
      </c>
      <c r="EI55" s="933"/>
      <c r="EJ55" s="139"/>
      <c r="EL55" s="1204"/>
      <c r="EM55" s="285" t="s">
        <v>1225</v>
      </c>
      <c r="EN55" s="114">
        <v>0.1</v>
      </c>
      <c r="EO55" s="137">
        <f t="shared" ref="EO55" si="1543">+ER50*EN55</f>
        <v>144752737.32779992</v>
      </c>
      <c r="EP55" s="115">
        <v>3.0000000000000001E-3</v>
      </c>
      <c r="EQ55" s="140">
        <v>36</v>
      </c>
      <c r="ER55" s="465">
        <f t="shared" si="1285"/>
        <v>1483715.5576099493</v>
      </c>
      <c r="ES55" s="138"/>
      <c r="ET55" s="927">
        <f t="shared" si="1447"/>
        <v>2.5000000000000001E-4</v>
      </c>
      <c r="EU55" s="928">
        <f t="shared" ref="EU55" si="1544">ET55*(EQ55+EO11)</f>
        <v>1.025E-2</v>
      </c>
      <c r="EV55" s="929">
        <f t="shared" si="1288"/>
        <v>1483715.5576099493</v>
      </c>
      <c r="EW55" s="933"/>
      <c r="EX55" s="139"/>
      <c r="EZ55" s="1204"/>
      <c r="FA55" s="285" t="s">
        <v>1225</v>
      </c>
      <c r="FB55" s="114">
        <v>0.1</v>
      </c>
      <c r="FC55" s="137">
        <f t="shared" ref="FC55" si="1545">+FF50*FB55</f>
        <v>155711835.68376192</v>
      </c>
      <c r="FD55" s="115">
        <v>3.0000000000000001E-3</v>
      </c>
      <c r="FE55" s="140">
        <v>36</v>
      </c>
      <c r="FF55" s="465">
        <f t="shared" si="1290"/>
        <v>1596046.3157585599</v>
      </c>
      <c r="FG55" s="138"/>
      <c r="FH55" s="927">
        <f t="shared" si="1450"/>
        <v>2.5000000000000001E-4</v>
      </c>
      <c r="FI55" s="928">
        <f t="shared" ref="FI55" si="1546">FH55*(FE55+FC11)</f>
        <v>1.025E-2</v>
      </c>
      <c r="FJ55" s="929">
        <f t="shared" si="1293"/>
        <v>1596046.3157585599</v>
      </c>
      <c r="FK55" s="933"/>
      <c r="FL55" s="139"/>
      <c r="FN55" s="1204"/>
      <c r="FO55" s="285" t="s">
        <v>1225</v>
      </c>
      <c r="FP55" s="114">
        <v>0.1</v>
      </c>
      <c r="FQ55" s="137">
        <f t="shared" ref="FQ55" si="1547">+FT50*FP55</f>
        <v>113292966.44847523</v>
      </c>
      <c r="FR55" s="115">
        <v>3.0000000000000001E-3</v>
      </c>
      <c r="FS55" s="140">
        <v>36</v>
      </c>
      <c r="FT55" s="465">
        <f t="shared" si="1295"/>
        <v>1161252.906096871</v>
      </c>
      <c r="FU55" s="138"/>
      <c r="FV55" s="927">
        <f t="shared" si="1453"/>
        <v>2.5000000000000001E-4</v>
      </c>
      <c r="FW55" s="928">
        <f t="shared" ref="FW55" si="1548">FV55*(FS55+FQ11)</f>
        <v>1.025E-2</v>
      </c>
      <c r="FX55" s="929">
        <f t="shared" si="1298"/>
        <v>1161252.906096871</v>
      </c>
      <c r="FY55" s="933"/>
      <c r="FZ55" s="139"/>
      <c r="GB55" s="1204"/>
      <c r="GC55" s="285" t="s">
        <v>1225</v>
      </c>
      <c r="GD55" s="114">
        <v>0.1</v>
      </c>
      <c r="GE55" s="137">
        <f t="shared" ref="GE55" si="1549">+GH50*GD55</f>
        <v>87589695.402383953</v>
      </c>
      <c r="GF55" s="115">
        <v>3.0000000000000001E-3</v>
      </c>
      <c r="GG55" s="140">
        <v>36</v>
      </c>
      <c r="GH55" s="465">
        <f t="shared" si="1300"/>
        <v>897794.37787443551</v>
      </c>
      <c r="GI55" s="138"/>
      <c r="GJ55" s="927">
        <f t="shared" si="1456"/>
        <v>2.5000000000000001E-4</v>
      </c>
      <c r="GK55" s="928">
        <f t="shared" ref="GK55" si="1550">GJ55*(GG55+GE11)</f>
        <v>1.025E-2</v>
      </c>
      <c r="GL55" s="929">
        <f t="shared" si="1303"/>
        <v>897794.37787443551</v>
      </c>
      <c r="GM55" s="933"/>
      <c r="GN55" s="139"/>
      <c r="GP55" s="1204"/>
      <c r="GQ55" s="285" t="s">
        <v>1225</v>
      </c>
      <c r="GR55" s="114">
        <v>0.1</v>
      </c>
      <c r="GS55" s="137">
        <f t="shared" ref="GS55" si="1551">+GV50*GR55</f>
        <v>54787078.325170711</v>
      </c>
      <c r="GT55" s="115">
        <v>3.0000000000000001E-3</v>
      </c>
      <c r="GU55" s="140">
        <v>36</v>
      </c>
      <c r="GV55" s="465">
        <f t="shared" si="1305"/>
        <v>561567.55283299985</v>
      </c>
      <c r="GW55" s="138"/>
      <c r="GX55" s="927">
        <f t="shared" si="1459"/>
        <v>2.5000000000000001E-4</v>
      </c>
      <c r="GY55" s="928">
        <f t="shared" ref="GY55" si="1552">GX55*(GU55+GS11)</f>
        <v>1.025E-2</v>
      </c>
      <c r="GZ55" s="929">
        <f t="shared" si="1308"/>
        <v>561567.55283299985</v>
      </c>
      <c r="HA55" s="933"/>
      <c r="HB55" s="139"/>
      <c r="HD55" s="1204"/>
      <c r="HE55" s="285" t="s">
        <v>1225</v>
      </c>
      <c r="HF55" s="114">
        <v>0.1</v>
      </c>
      <c r="HG55" s="137">
        <f t="shared" ref="HG55" si="1553">+HJ50*HF55</f>
        <v>175997243.37871319</v>
      </c>
      <c r="HH55" s="115">
        <v>3.0000000000000001E-3</v>
      </c>
      <c r="HI55" s="140">
        <v>36</v>
      </c>
      <c r="HJ55" s="465">
        <f t="shared" si="1310"/>
        <v>1803971.7446318103</v>
      </c>
      <c r="HK55" s="138"/>
      <c r="HL55" s="927">
        <f t="shared" si="1462"/>
        <v>2.5000000000000001E-4</v>
      </c>
      <c r="HM55" s="928">
        <f t="shared" ref="HM55" si="1554">HL55*(HI55+HG11)</f>
        <v>1.025E-2</v>
      </c>
      <c r="HN55" s="929">
        <f t="shared" si="1313"/>
        <v>1803971.7446318103</v>
      </c>
      <c r="HO55" s="933"/>
      <c r="HP55" s="139"/>
      <c r="HR55" s="1204"/>
      <c r="HS55" s="285" t="s">
        <v>1225</v>
      </c>
      <c r="HT55" s="114">
        <v>0.1</v>
      </c>
      <c r="HU55" s="137">
        <f t="shared" ref="HU55" si="1555">+HX50*HT55</f>
        <v>61818815.712051809</v>
      </c>
      <c r="HV55" s="115">
        <v>3.0000000000000001E-3</v>
      </c>
      <c r="HW55" s="140">
        <v>36</v>
      </c>
      <c r="HX55" s="465">
        <f t="shared" si="1315"/>
        <v>633642.86104853102</v>
      </c>
      <c r="HY55" s="138"/>
      <c r="HZ55" s="927">
        <f t="shared" si="1465"/>
        <v>2.5000000000000001E-4</v>
      </c>
      <c r="IA55" s="928">
        <f t="shared" ref="IA55" si="1556">HZ55*(HW55+HU11)</f>
        <v>1.025E-2</v>
      </c>
      <c r="IB55" s="929">
        <f t="shared" si="1318"/>
        <v>633642.86104853102</v>
      </c>
      <c r="IC55" s="933"/>
      <c r="ID55" s="139"/>
      <c r="IF55" s="1204"/>
      <c r="IG55" s="285" t="s">
        <v>1225</v>
      </c>
      <c r="IH55" s="114">
        <v>0.1</v>
      </c>
      <c r="II55" s="137">
        <f t="shared" ref="II55" si="1557">+IL50*IH55</f>
        <v>41581418.843207777</v>
      </c>
      <c r="IJ55" s="115">
        <v>3.0000000000000001E-3</v>
      </c>
      <c r="IK55" s="140">
        <v>36</v>
      </c>
      <c r="IL55" s="465">
        <f t="shared" si="1320"/>
        <v>426209.54314287973</v>
      </c>
      <c r="IM55" s="138"/>
      <c r="IN55" s="927">
        <f t="shared" si="1468"/>
        <v>2.5000000000000001E-4</v>
      </c>
      <c r="IO55" s="928">
        <f t="shared" ref="IO55" si="1558">IN55*(IK55+II11)</f>
        <v>1.025E-2</v>
      </c>
      <c r="IP55" s="929">
        <f t="shared" si="1323"/>
        <v>426209.54314287973</v>
      </c>
      <c r="IQ55" s="933"/>
      <c r="IR55" s="139"/>
      <c r="IT55" s="1204"/>
      <c r="IU55" s="285" t="s">
        <v>1225</v>
      </c>
      <c r="IV55" s="114">
        <v>0.1</v>
      </c>
      <c r="IW55" s="137">
        <f t="shared" ref="IW55" si="1559">+IZ50*IV55</f>
        <v>258570555.79030967</v>
      </c>
      <c r="IX55" s="115">
        <v>3.0000000000000001E-3</v>
      </c>
      <c r="IY55" s="140">
        <v>36</v>
      </c>
      <c r="IZ55" s="465">
        <f t="shared" si="1325"/>
        <v>2650348.1968506742</v>
      </c>
      <c r="JA55" s="138"/>
      <c r="JB55" s="927">
        <f t="shared" si="1471"/>
        <v>2.5000000000000001E-4</v>
      </c>
      <c r="JC55" s="928">
        <f t="shared" ref="JC55" si="1560">JB55*(IY55+IW11)</f>
        <v>1.025E-2</v>
      </c>
      <c r="JD55" s="929">
        <f t="shared" si="1328"/>
        <v>2650348.1968506742</v>
      </c>
      <c r="JE55" s="933"/>
      <c r="JF55" s="139"/>
      <c r="JH55" s="1204"/>
      <c r="JI55" s="285" t="s">
        <v>1225</v>
      </c>
      <c r="JJ55" s="114">
        <v>0.1</v>
      </c>
      <c r="JK55" s="137">
        <f>+JN50*JJ55</f>
        <v>300151974.63351744</v>
      </c>
      <c r="JL55" s="115">
        <v>3.0000000000000001E-3</v>
      </c>
      <c r="JM55" s="140">
        <v>36</v>
      </c>
      <c r="JN55" s="465">
        <f t="shared" si="1329"/>
        <v>3076557.7399935541</v>
      </c>
      <c r="JO55" s="138"/>
      <c r="JP55" s="927">
        <f t="shared" si="1473"/>
        <v>2.5000000000000001E-4</v>
      </c>
      <c r="JQ55" s="928">
        <f t="shared" ref="JQ55" si="1561">JP55*(JM55+JK11)</f>
        <v>1.025E-2</v>
      </c>
      <c r="JR55" s="929">
        <f t="shared" si="1332"/>
        <v>3076557.7399935541</v>
      </c>
      <c r="JS55" s="933"/>
      <c r="JT55" s="139"/>
      <c r="JV55" s="1204"/>
      <c r="JW55" s="285" t="s">
        <v>1225</v>
      </c>
      <c r="JX55" s="114">
        <v>0.1</v>
      </c>
      <c r="JY55" s="137">
        <f t="shared" ref="JY55" si="1562">+KB50*JX55</f>
        <v>87118486.291139215</v>
      </c>
      <c r="JZ55" s="115">
        <v>3.0000000000000001E-3</v>
      </c>
      <c r="KA55" s="140">
        <v>36</v>
      </c>
      <c r="KB55" s="465">
        <f t="shared" si="1334"/>
        <v>892964.48448417697</v>
      </c>
      <c r="KC55" s="138"/>
      <c r="KD55" s="927">
        <f t="shared" si="1476"/>
        <v>2.5000000000000001E-4</v>
      </c>
      <c r="KE55" s="928">
        <f t="shared" ref="KE55" si="1563">KD55*(KA55+JY11)</f>
        <v>1.025E-2</v>
      </c>
      <c r="KF55" s="929">
        <f t="shared" si="1337"/>
        <v>892964.48448417697</v>
      </c>
      <c r="KG55" s="933"/>
      <c r="KH55" s="139"/>
      <c r="KJ55" s="1204"/>
      <c r="KK55" s="285" t="s">
        <v>1225</v>
      </c>
      <c r="KL55" s="114">
        <v>0.1</v>
      </c>
      <c r="KM55" s="137">
        <f t="shared" ref="KM55" si="1564">+KP50*KL55</f>
        <v>52386390.7113415</v>
      </c>
      <c r="KN55" s="115">
        <v>3.0000000000000001E-3</v>
      </c>
      <c r="KO55" s="140">
        <v>36</v>
      </c>
      <c r="KP55" s="465">
        <f t="shared" si="1339"/>
        <v>536960.50479125045</v>
      </c>
      <c r="KQ55" s="138"/>
      <c r="KR55" s="927">
        <f t="shared" si="1479"/>
        <v>2.5000000000000001E-4</v>
      </c>
      <c r="KS55" s="928">
        <f t="shared" ref="KS55" si="1565">KR55*(KO55+KM11)</f>
        <v>1.025E-2</v>
      </c>
      <c r="KT55" s="929">
        <f t="shared" si="1342"/>
        <v>536960.50479125045</v>
      </c>
      <c r="KU55" s="933"/>
      <c r="KV55" s="139"/>
      <c r="KX55" s="1204"/>
      <c r="KY55" s="285" t="s">
        <v>1225</v>
      </c>
      <c r="KZ55" s="114">
        <v>0.1</v>
      </c>
      <c r="LA55" s="137">
        <f t="shared" ref="LA55" si="1566">+LD50*KZ55</f>
        <v>42614846.548317187</v>
      </c>
      <c r="LB55" s="115">
        <v>3.0000000000000001E-3</v>
      </c>
      <c r="LC55" s="140">
        <v>36</v>
      </c>
      <c r="LD55" s="465">
        <f t="shared" si="1344"/>
        <v>436802.17712025117</v>
      </c>
      <c r="LE55" s="138"/>
      <c r="LF55" s="927">
        <f t="shared" si="1482"/>
        <v>2.5000000000000001E-4</v>
      </c>
      <c r="LG55" s="928">
        <f t="shared" ref="LG55" si="1567">LF55*(LC55+LA11)</f>
        <v>1.025E-2</v>
      </c>
      <c r="LH55" s="929">
        <f t="shared" si="1347"/>
        <v>436802.17712025117</v>
      </c>
      <c r="LI55" s="933"/>
      <c r="LJ55" s="139"/>
      <c r="LL55" s="1204"/>
      <c r="LM55" s="285" t="s">
        <v>1225</v>
      </c>
      <c r="LN55" s="114">
        <v>0.1</v>
      </c>
      <c r="LO55" s="137">
        <f t="shared" ref="LO55" si="1568">+LR50*LN55</f>
        <v>111495265.25537093</v>
      </c>
      <c r="LP55" s="115">
        <v>3.0000000000000001E-3</v>
      </c>
      <c r="LQ55" s="140">
        <v>36</v>
      </c>
      <c r="LR55" s="465">
        <f t="shared" si="1349"/>
        <v>1142826.468867552</v>
      </c>
      <c r="LS55" s="138"/>
      <c r="LT55" s="927">
        <f t="shared" si="1485"/>
        <v>2.5000000000000001E-4</v>
      </c>
      <c r="LU55" s="928">
        <f t="shared" ref="LU55" si="1569">LT55*(LQ55+LO11)</f>
        <v>1.025E-2</v>
      </c>
      <c r="LV55" s="929">
        <f t="shared" si="1352"/>
        <v>1142826.468867552</v>
      </c>
      <c r="LW55" s="933"/>
      <c r="LX55" s="139"/>
      <c r="LZ55" s="1204"/>
      <c r="MA55" s="285" t="s">
        <v>1225</v>
      </c>
      <c r="MB55" s="114">
        <v>0.1</v>
      </c>
      <c r="MC55" s="137">
        <f t="shared" ref="MC55" si="1570">+MF50*MB55</f>
        <v>110596414.6588188</v>
      </c>
      <c r="MD55" s="115">
        <v>3.0000000000000001E-3</v>
      </c>
      <c r="ME55" s="140">
        <v>36</v>
      </c>
      <c r="MF55" s="465">
        <f t="shared" si="1354"/>
        <v>1133613.2502528927</v>
      </c>
      <c r="MG55" s="138"/>
      <c r="MH55" s="927">
        <f t="shared" si="1488"/>
        <v>2.5000000000000001E-4</v>
      </c>
      <c r="MI55" s="928">
        <f t="shared" ref="MI55" si="1571">MH55*(ME55+MC11)</f>
        <v>1.025E-2</v>
      </c>
      <c r="MJ55" s="929">
        <f t="shared" si="1357"/>
        <v>1133613.2502528927</v>
      </c>
      <c r="MK55" s="933"/>
      <c r="ML55" s="139"/>
      <c r="MN55" s="1204"/>
      <c r="MO55" s="285" t="s">
        <v>1225</v>
      </c>
      <c r="MP55" s="114">
        <v>0.1</v>
      </c>
      <c r="MQ55" s="137">
        <f t="shared" ref="MQ55" si="1572">+MT50*MP55</f>
        <v>113170259.11048518</v>
      </c>
      <c r="MR55" s="115">
        <v>3.0000000000000001E-3</v>
      </c>
      <c r="MS55" s="140">
        <v>36</v>
      </c>
      <c r="MT55" s="465">
        <f t="shared" si="1359"/>
        <v>1159995.1558824731</v>
      </c>
      <c r="MU55" s="138"/>
      <c r="MV55" s="927">
        <f t="shared" si="1491"/>
        <v>2.5000000000000001E-4</v>
      </c>
      <c r="MW55" s="928">
        <f t="shared" ref="MW55" si="1573">MV55*(MS55+MQ11)</f>
        <v>1.025E-2</v>
      </c>
      <c r="MX55" s="929">
        <f t="shared" si="1362"/>
        <v>1159995.1558824731</v>
      </c>
      <c r="MY55" s="933"/>
      <c r="MZ55" s="139"/>
      <c r="NB55" s="1204"/>
      <c r="NC55" s="285" t="s">
        <v>1225</v>
      </c>
      <c r="ND55" s="114">
        <v>0.1</v>
      </c>
      <c r="NE55" s="137">
        <f t="shared" ref="NE55" si="1574">+NH50*ND55</f>
        <v>216585201.10436508</v>
      </c>
      <c r="NF55" s="115">
        <v>3.0000000000000001E-3</v>
      </c>
      <c r="NG55" s="140">
        <v>36</v>
      </c>
      <c r="NH55" s="465">
        <f t="shared" si="1364"/>
        <v>2219998.3113197424</v>
      </c>
      <c r="NI55" s="138"/>
      <c r="NJ55" s="927">
        <f t="shared" si="1494"/>
        <v>2.5000000000000001E-4</v>
      </c>
      <c r="NK55" s="928">
        <f t="shared" ref="NK55" si="1575">NJ55*(NG55+NE11)</f>
        <v>1.025E-2</v>
      </c>
      <c r="NL55" s="929">
        <f t="shared" si="1367"/>
        <v>2219998.3113197424</v>
      </c>
      <c r="NM55" s="933"/>
      <c r="NN55" s="139"/>
      <c r="NP55" s="1204"/>
      <c r="NQ55" s="285" t="s">
        <v>1225</v>
      </c>
      <c r="NR55" s="114">
        <v>0.1</v>
      </c>
      <c r="NS55" s="137">
        <f t="shared" ref="NS55" si="1576">+NV50*NR55</f>
        <v>34477853.01628124</v>
      </c>
      <c r="NT55" s="115">
        <v>3.0000000000000001E-3</v>
      </c>
      <c r="NU55" s="140">
        <v>36</v>
      </c>
      <c r="NV55" s="465">
        <f t="shared" si="1369"/>
        <v>353397.9934168827</v>
      </c>
      <c r="NW55" s="138"/>
      <c r="NX55" s="927">
        <f t="shared" si="1497"/>
        <v>2.5000000000000001E-4</v>
      </c>
      <c r="NY55" s="928">
        <f t="shared" ref="NY55" si="1577">NX55*(NU55+NS11)</f>
        <v>1.025E-2</v>
      </c>
      <c r="NZ55" s="929">
        <f t="shared" si="1372"/>
        <v>353397.9934168827</v>
      </c>
      <c r="OA55" s="933"/>
      <c r="OB55" s="139"/>
      <c r="OD55" s="1204"/>
      <c r="OE55" s="285" t="s">
        <v>1225</v>
      </c>
      <c r="OF55" s="114">
        <v>0.1</v>
      </c>
      <c r="OG55" s="137">
        <f t="shared" ref="OG55" si="1578">+OJ50*OF55</f>
        <v>44934315.027764909</v>
      </c>
      <c r="OH55" s="115">
        <v>3.0000000000000001E-3</v>
      </c>
      <c r="OI55" s="140">
        <v>36</v>
      </c>
      <c r="OJ55" s="465">
        <f t="shared" si="1374"/>
        <v>460576.72903459036</v>
      </c>
      <c r="OK55" s="138"/>
      <c r="OL55" s="927">
        <f t="shared" si="1500"/>
        <v>2.5000000000000001E-4</v>
      </c>
      <c r="OM55" s="928">
        <f t="shared" ref="OM55" si="1579">OL55*(OI55+OG11)</f>
        <v>1.025E-2</v>
      </c>
      <c r="ON55" s="929">
        <f t="shared" si="1377"/>
        <v>460576.72903459036</v>
      </c>
      <c r="OO55" s="933"/>
      <c r="OP55" s="139"/>
      <c r="OR55" s="1204"/>
      <c r="OS55" s="285" t="s">
        <v>1225</v>
      </c>
      <c r="OT55" s="114">
        <v>0.1</v>
      </c>
      <c r="OU55" s="137">
        <f t="shared" ref="OU55" si="1580">+OX50*OT55</f>
        <v>56769365.818857148</v>
      </c>
      <c r="OV55" s="115">
        <v>3.0000000000000001E-3</v>
      </c>
      <c r="OW55" s="140">
        <v>36</v>
      </c>
      <c r="OX55" s="465">
        <f t="shared" si="1379"/>
        <v>581885.99964328576</v>
      </c>
      <c r="OY55" s="138"/>
      <c r="OZ55" s="927">
        <f t="shared" si="1503"/>
        <v>2.5000000000000001E-4</v>
      </c>
      <c r="PA55" s="928">
        <f t="shared" ref="PA55" si="1581">OZ55*(OW55+OU11)</f>
        <v>1.025E-2</v>
      </c>
      <c r="PB55" s="929">
        <f t="shared" si="1382"/>
        <v>581885.99964328576</v>
      </c>
      <c r="PC55" s="933"/>
      <c r="PD55" s="139"/>
      <c r="PF55" s="1204"/>
      <c r="PG55" s="285" t="s">
        <v>1225</v>
      </c>
      <c r="PH55" s="114">
        <v>0.1</v>
      </c>
      <c r="PI55" s="137">
        <f t="shared" ref="PI55" si="1582">+PL50*PH55</f>
        <v>14436224.268843198</v>
      </c>
      <c r="PJ55" s="115">
        <v>3.0000000000000001E-3</v>
      </c>
      <c r="PK55" s="140">
        <v>36</v>
      </c>
      <c r="PL55" s="465">
        <f t="shared" si="1384"/>
        <v>147971.29875564278</v>
      </c>
      <c r="PM55" s="138"/>
      <c r="PN55" s="927">
        <f t="shared" si="1506"/>
        <v>2.5000000000000001E-4</v>
      </c>
      <c r="PO55" s="928">
        <f t="shared" ref="PO55" si="1583">PN55*(PK55+PI11)</f>
        <v>1.025E-2</v>
      </c>
      <c r="PP55" s="929">
        <f t="shared" si="1387"/>
        <v>147971.29875564278</v>
      </c>
      <c r="PQ55" s="933"/>
      <c r="PR55" s="139"/>
      <c r="PT55" s="1204"/>
      <c r="PU55" s="285" t="s">
        <v>1225</v>
      </c>
      <c r="PV55" s="114">
        <v>0.1</v>
      </c>
      <c r="PW55" s="137">
        <f t="shared" ref="PW55" si="1584">+PZ50*PV55</f>
        <v>22278600.735231996</v>
      </c>
      <c r="PX55" s="115">
        <v>3.0000000000000001E-3</v>
      </c>
      <c r="PY55" s="140">
        <v>36</v>
      </c>
      <c r="PZ55" s="465">
        <f t="shared" si="1389"/>
        <v>228355.65753612795</v>
      </c>
      <c r="QA55" s="138"/>
      <c r="QB55" s="927">
        <f t="shared" si="1509"/>
        <v>2.5000000000000001E-4</v>
      </c>
      <c r="QC55" s="928">
        <f t="shared" ref="QC55" si="1585">QB55*(PY55+PW11)</f>
        <v>1.025E-2</v>
      </c>
      <c r="QD55" s="929">
        <f t="shared" si="1392"/>
        <v>228355.65753612795</v>
      </c>
      <c r="QE55" s="933"/>
      <c r="QF55" s="139"/>
      <c r="QH55" s="1204"/>
      <c r="QI55" s="285" t="s">
        <v>1225</v>
      </c>
      <c r="QJ55" s="114">
        <v>0.1</v>
      </c>
      <c r="QK55" s="137">
        <f t="shared" ref="QK55" si="1586">+QN50*QJ55</f>
        <v>8336598.1283185799</v>
      </c>
      <c r="QL55" s="115">
        <v>3.0000000000000001E-3</v>
      </c>
      <c r="QM55" s="140">
        <v>36</v>
      </c>
      <c r="QN55" s="465">
        <f t="shared" si="1394"/>
        <v>85450.130815265453</v>
      </c>
      <c r="QO55" s="138"/>
      <c r="QP55" s="927">
        <f t="shared" si="1512"/>
        <v>2.5000000000000001E-4</v>
      </c>
      <c r="QQ55" s="928">
        <f t="shared" ref="QQ55" si="1587">QP55*(QM55+QK11)</f>
        <v>1.025E-2</v>
      </c>
      <c r="QR55" s="929">
        <f t="shared" si="1397"/>
        <v>85450.130815265453</v>
      </c>
      <c r="QS55" s="933"/>
      <c r="QT55" s="139"/>
      <c r="QV55" s="1204"/>
      <c r="QW55" s="285" t="s">
        <v>1225</v>
      </c>
      <c r="QX55" s="114">
        <v>0.1</v>
      </c>
      <c r="QY55" s="137">
        <f t="shared" ref="QY55" si="1588">+RB50*QX55</f>
        <v>18793100.083503641</v>
      </c>
      <c r="QZ55" s="115">
        <v>3.0000000000000001E-3</v>
      </c>
      <c r="RA55" s="140">
        <v>36</v>
      </c>
      <c r="RB55" s="465">
        <f t="shared" si="1399"/>
        <v>192629.27585591233</v>
      </c>
      <c r="RC55" s="138"/>
      <c r="RD55" s="927">
        <f t="shared" si="1515"/>
        <v>2.5000000000000001E-4</v>
      </c>
      <c r="RE55" s="928">
        <f t="shared" ref="RE55" si="1589">RD55*(RA55+QY11)</f>
        <v>1.025E-2</v>
      </c>
      <c r="RF55" s="929">
        <f t="shared" si="1402"/>
        <v>192629.27585591233</v>
      </c>
      <c r="RG55" s="933"/>
      <c r="RH55" s="139"/>
      <c r="RJ55" s="1204"/>
      <c r="RK55" s="285" t="s">
        <v>1225</v>
      </c>
      <c r="RL55" s="114">
        <v>0.1</v>
      </c>
      <c r="RM55" s="137">
        <f t="shared" ref="RM55" si="1590">+RP50*RL55</f>
        <v>8358994.9091347456</v>
      </c>
      <c r="RN55" s="115">
        <v>3.0000000000000001E-3</v>
      </c>
      <c r="RO55" s="140">
        <v>36</v>
      </c>
      <c r="RP55" s="465">
        <f t="shared" si="1404"/>
        <v>85679.697818631146</v>
      </c>
      <c r="RQ55" s="138"/>
      <c r="RR55" s="927">
        <f t="shared" si="1518"/>
        <v>2.5000000000000001E-4</v>
      </c>
      <c r="RS55" s="928">
        <f t="shared" ref="RS55" si="1591">RR55*(RO55+RM11)</f>
        <v>1.025E-2</v>
      </c>
      <c r="RT55" s="929">
        <f t="shared" si="1407"/>
        <v>85679.697818631146</v>
      </c>
      <c r="RU55" s="933"/>
      <c r="RV55" s="139"/>
      <c r="RX55" s="1204"/>
      <c r="RY55" s="285" t="s">
        <v>1225</v>
      </c>
      <c r="RZ55" s="114">
        <v>0.1</v>
      </c>
      <c r="SA55" s="137">
        <f t="shared" ref="SA55" si="1592">+SD50*RZ55</f>
        <v>12693473.942979023</v>
      </c>
      <c r="SB55" s="115">
        <v>3.0000000000000001E-3</v>
      </c>
      <c r="SC55" s="140">
        <v>36</v>
      </c>
      <c r="SD55" s="465">
        <f t="shared" si="1409"/>
        <v>130108.10791553499</v>
      </c>
      <c r="SE55" s="138"/>
      <c r="SF55" s="927">
        <f t="shared" si="1521"/>
        <v>2.5000000000000001E-4</v>
      </c>
      <c r="SG55" s="928">
        <f t="shared" ref="SG55" si="1593">SF55*(SC55+SA11)</f>
        <v>1.025E-2</v>
      </c>
      <c r="SH55" s="929">
        <f t="shared" si="1412"/>
        <v>130108.10791553499</v>
      </c>
      <c r="SI55" s="933"/>
      <c r="SJ55" s="139"/>
      <c r="SL55" s="1204"/>
      <c r="SM55" s="285" t="s">
        <v>1225</v>
      </c>
      <c r="SN55" s="114">
        <v>0.1</v>
      </c>
      <c r="SO55" s="137">
        <f t="shared" ref="SO55" si="1594">+SR50*SN55</f>
        <v>0</v>
      </c>
      <c r="SP55" s="115">
        <v>3.0000000000000001E-3</v>
      </c>
      <c r="SQ55" s="140">
        <v>36</v>
      </c>
      <c r="SR55" s="465">
        <f t="shared" si="1414"/>
        <v>0</v>
      </c>
      <c r="SS55" s="138"/>
      <c r="ST55" s="927">
        <f t="shared" si="1524"/>
        <v>2.5000000000000001E-4</v>
      </c>
      <c r="SU55" s="928">
        <f t="shared" ref="SU55" si="1595">ST55*(SQ55+SO11)</f>
        <v>1.025E-2</v>
      </c>
      <c r="SV55" s="929">
        <f t="shared" si="1417"/>
        <v>0</v>
      </c>
      <c r="SW55" s="933"/>
      <c r="SX55" s="139"/>
      <c r="SZ55" s="1204"/>
      <c r="TA55" s="285" t="s">
        <v>1225</v>
      </c>
      <c r="TB55" s="114">
        <v>0.1</v>
      </c>
      <c r="TC55" s="137">
        <f t="shared" ref="TC55" si="1596">+TF50*TB55</f>
        <v>3225481766.4247675</v>
      </c>
      <c r="TD55" s="115">
        <v>3.0000000000000001E-3</v>
      </c>
      <c r="TE55" s="140">
        <v>36</v>
      </c>
      <c r="TF55" s="465">
        <f t="shared" si="1419"/>
        <v>33061188.105853867</v>
      </c>
      <c r="TG55" s="138"/>
      <c r="TH55" s="927">
        <f t="shared" si="1527"/>
        <v>2.5000000000000001E-4</v>
      </c>
      <c r="TI55" s="928">
        <f t="shared" ref="TI55" si="1597">TH55*(TE55+TC11)</f>
        <v>1.025E-2</v>
      </c>
      <c r="TJ55" s="929">
        <f t="shared" si="1422"/>
        <v>33061188.105853867</v>
      </c>
      <c r="TK55" s="933"/>
      <c r="TL55" s="139"/>
    </row>
    <row r="56" spans="2:532" ht="18.75" customHeight="1">
      <c r="B56" s="1204"/>
      <c r="C56" s="285" t="s">
        <v>1226</v>
      </c>
      <c r="D56" s="114">
        <v>0.2</v>
      </c>
      <c r="E56" s="137">
        <f>+H50*D56</f>
        <v>579941783.41794336</v>
      </c>
      <c r="F56" s="115">
        <v>4.0000000000000001E-3</v>
      </c>
      <c r="G56" s="140">
        <v>4</v>
      </c>
      <c r="H56" s="465">
        <f>L56</f>
        <v>1739825.3502538302</v>
      </c>
      <c r="I56" s="138"/>
      <c r="J56" s="927">
        <f>+F56/12</f>
        <v>3.3333333333333332E-4</v>
      </c>
      <c r="K56" s="928">
        <f>J56*(G56+E11)</f>
        <v>3.0000000000000001E-3</v>
      </c>
      <c r="L56" s="929">
        <f>K56*E56</f>
        <v>1739825.3502538302</v>
      </c>
      <c r="M56" s="933"/>
      <c r="N56" s="139"/>
      <c r="P56" s="1204"/>
      <c r="Q56" s="285" t="s">
        <v>1226</v>
      </c>
      <c r="R56" s="114">
        <v>0.2</v>
      </c>
      <c r="S56" s="137">
        <f>+V50*R56</f>
        <v>136358799.92470619</v>
      </c>
      <c r="T56" s="115">
        <v>4.0000000000000001E-3</v>
      </c>
      <c r="U56" s="140">
        <v>4</v>
      </c>
      <c r="V56" s="465">
        <f t="shared" si="1243"/>
        <v>409076.39977411856</v>
      </c>
      <c r="W56" s="138"/>
      <c r="X56" s="927">
        <f t="shared" si="1423"/>
        <v>3.3333333333333332E-4</v>
      </c>
      <c r="Y56" s="928">
        <f t="shared" ref="Y56" si="1598">X56*(U56+S11)</f>
        <v>3.0000000000000001E-3</v>
      </c>
      <c r="Z56" s="929">
        <f t="shared" si="1246"/>
        <v>409076.39977411856</v>
      </c>
      <c r="AA56" s="933"/>
      <c r="AB56" s="139"/>
      <c r="AD56" s="1204"/>
      <c r="AE56" s="285" t="s">
        <v>1226</v>
      </c>
      <c r="AF56" s="114">
        <v>0.2</v>
      </c>
      <c r="AG56" s="137">
        <f>+AJ50*AF56</f>
        <v>716300583.34264946</v>
      </c>
      <c r="AH56" s="115">
        <v>4.0000000000000001E-3</v>
      </c>
      <c r="AI56" s="140">
        <v>4</v>
      </c>
      <c r="AJ56" s="465">
        <f t="shared" si="1247"/>
        <v>2148901.7500279485</v>
      </c>
      <c r="AK56" s="138"/>
      <c r="AL56" s="927">
        <f t="shared" si="1425"/>
        <v>3.3333333333333332E-4</v>
      </c>
      <c r="AM56" s="928">
        <f t="shared" ref="AM56" si="1599">AL56*(AI56+AG11)</f>
        <v>3.0000000000000001E-3</v>
      </c>
      <c r="AN56" s="929">
        <f t="shared" si="1250"/>
        <v>2148901.7500279485</v>
      </c>
      <c r="AO56" s="933"/>
      <c r="AP56" s="139"/>
      <c r="AR56" s="1204"/>
      <c r="AS56" s="285" t="s">
        <v>1226</v>
      </c>
      <c r="AT56" s="114">
        <v>0.2</v>
      </c>
      <c r="AU56" s="137">
        <f>+AX50*AT56</f>
        <v>206811219.77280343</v>
      </c>
      <c r="AV56" s="115">
        <v>4.0000000000000001E-3</v>
      </c>
      <c r="AW56" s="140">
        <v>4</v>
      </c>
      <c r="AX56" s="465">
        <f t="shared" si="1251"/>
        <v>620433.65931841033</v>
      </c>
      <c r="AY56" s="138"/>
      <c r="AZ56" s="927">
        <f t="shared" si="1427"/>
        <v>3.3333333333333332E-4</v>
      </c>
      <c r="BA56" s="928">
        <f t="shared" ref="BA56" si="1600">AZ56*(AW56+AU11)</f>
        <v>3.0000000000000001E-3</v>
      </c>
      <c r="BB56" s="929">
        <f t="shared" si="1254"/>
        <v>620433.65931841033</v>
      </c>
      <c r="BC56" s="933"/>
      <c r="BD56" s="139"/>
      <c r="BF56" s="1204"/>
      <c r="BG56" s="285" t="s">
        <v>1226</v>
      </c>
      <c r="BH56" s="114">
        <v>0.2</v>
      </c>
      <c r="BI56" s="137">
        <f>+BL50*BH56</f>
        <v>296696279.42801702</v>
      </c>
      <c r="BJ56" s="115">
        <v>4.0000000000000001E-3</v>
      </c>
      <c r="BK56" s="140">
        <v>4</v>
      </c>
      <c r="BL56" s="465">
        <f t="shared" si="1255"/>
        <v>890088.83828405105</v>
      </c>
      <c r="BM56" s="138"/>
      <c r="BN56" s="927">
        <f t="shared" si="1429"/>
        <v>3.3333333333333332E-4</v>
      </c>
      <c r="BO56" s="928">
        <f t="shared" ref="BO56" si="1601">BN56*(BK56+BI11)</f>
        <v>3.0000000000000001E-3</v>
      </c>
      <c r="BP56" s="929">
        <f t="shared" si="1258"/>
        <v>890088.83828405105</v>
      </c>
      <c r="BQ56" s="933"/>
      <c r="BR56" s="139"/>
      <c r="BT56" s="1204"/>
      <c r="BU56" s="285" t="s">
        <v>1226</v>
      </c>
      <c r="BV56" s="114">
        <v>0.2</v>
      </c>
      <c r="BW56" s="137">
        <f t="shared" ref="BW56" si="1602">+BZ50*BV56</f>
        <v>253829018.90422082</v>
      </c>
      <c r="BX56" s="115">
        <v>4.0000000000000001E-3</v>
      </c>
      <c r="BY56" s="140">
        <v>4</v>
      </c>
      <c r="BZ56" s="465">
        <f t="shared" si="1260"/>
        <v>761487.05671266245</v>
      </c>
      <c r="CA56" s="138"/>
      <c r="CB56" s="927">
        <f t="shared" si="1432"/>
        <v>3.3333333333333332E-4</v>
      </c>
      <c r="CC56" s="928">
        <f t="shared" ref="CC56" si="1603">CB56*(BY56+BW11)</f>
        <v>3.0000000000000001E-3</v>
      </c>
      <c r="CD56" s="929">
        <f t="shared" si="1263"/>
        <v>761487.05671266245</v>
      </c>
      <c r="CE56" s="933"/>
      <c r="CF56" s="139"/>
      <c r="CH56" s="1204"/>
      <c r="CI56" s="285" t="s">
        <v>1226</v>
      </c>
      <c r="CJ56" s="114">
        <v>0.2</v>
      </c>
      <c r="CK56" s="137">
        <f t="shared" ref="CK56" si="1604">+CN50*CJ56</f>
        <v>253723000.92530847</v>
      </c>
      <c r="CL56" s="115">
        <v>4.0000000000000001E-3</v>
      </c>
      <c r="CM56" s="140">
        <v>4</v>
      </c>
      <c r="CN56" s="465">
        <f t="shared" si="1265"/>
        <v>761169.00277592544</v>
      </c>
      <c r="CO56" s="138"/>
      <c r="CP56" s="927">
        <f t="shared" si="1435"/>
        <v>3.3333333333333332E-4</v>
      </c>
      <c r="CQ56" s="928">
        <f t="shared" ref="CQ56" si="1605">CP56*(CM56+CK11)</f>
        <v>3.0000000000000001E-3</v>
      </c>
      <c r="CR56" s="929">
        <f t="shared" si="1268"/>
        <v>761169.00277592544</v>
      </c>
      <c r="CS56" s="933"/>
      <c r="CT56" s="139"/>
      <c r="CV56" s="1204"/>
      <c r="CW56" s="285" t="s">
        <v>1226</v>
      </c>
      <c r="CX56" s="114">
        <v>0.2</v>
      </c>
      <c r="CY56" s="137">
        <f t="shared" ref="CY56" si="1606">+DB50*CX56</f>
        <v>139167030.30768454</v>
      </c>
      <c r="CZ56" s="115">
        <v>4.0000000000000001E-3</v>
      </c>
      <c r="DA56" s="140">
        <v>4</v>
      </c>
      <c r="DB56" s="465">
        <f t="shared" si="1270"/>
        <v>417501.09092305362</v>
      </c>
      <c r="DC56" s="138"/>
      <c r="DD56" s="927">
        <f t="shared" si="1438"/>
        <v>3.3333333333333332E-4</v>
      </c>
      <c r="DE56" s="928">
        <f t="shared" ref="DE56" si="1607">DD56*(DA56+CY11)</f>
        <v>3.0000000000000001E-3</v>
      </c>
      <c r="DF56" s="929">
        <f t="shared" si="1273"/>
        <v>417501.09092305362</v>
      </c>
      <c r="DG56" s="933"/>
      <c r="DH56" s="139"/>
      <c r="DJ56" s="1204"/>
      <c r="DK56" s="285" t="s">
        <v>1226</v>
      </c>
      <c r="DL56" s="114">
        <v>0.2</v>
      </c>
      <c r="DM56" s="137">
        <f t="shared" ref="DM56" si="1608">+DP50*DL56</f>
        <v>282925109.73700351</v>
      </c>
      <c r="DN56" s="115">
        <v>4.0000000000000001E-3</v>
      </c>
      <c r="DO56" s="140">
        <v>4</v>
      </c>
      <c r="DP56" s="465">
        <f t="shared" si="1275"/>
        <v>848775.32921101048</v>
      </c>
      <c r="DQ56" s="138"/>
      <c r="DR56" s="927">
        <f t="shared" si="1441"/>
        <v>3.3333333333333332E-4</v>
      </c>
      <c r="DS56" s="928">
        <f t="shared" ref="DS56" si="1609">DR56*(DO56+DM11)</f>
        <v>3.0000000000000001E-3</v>
      </c>
      <c r="DT56" s="929">
        <f t="shared" si="1278"/>
        <v>848775.32921101048</v>
      </c>
      <c r="DU56" s="933"/>
      <c r="DV56" s="139"/>
      <c r="DX56" s="1204"/>
      <c r="DY56" s="285" t="s">
        <v>1226</v>
      </c>
      <c r="DZ56" s="114">
        <v>0.2</v>
      </c>
      <c r="EA56" s="137">
        <f t="shared" ref="EA56" si="1610">+ED50*DZ56</f>
        <v>203215817.38659489</v>
      </c>
      <c r="EB56" s="115">
        <v>4.0000000000000001E-3</v>
      </c>
      <c r="EC56" s="140">
        <v>4</v>
      </c>
      <c r="ED56" s="465">
        <f t="shared" si="1280"/>
        <v>609647.45215978473</v>
      </c>
      <c r="EE56" s="138"/>
      <c r="EF56" s="927">
        <f t="shared" si="1444"/>
        <v>3.3333333333333332E-4</v>
      </c>
      <c r="EG56" s="928">
        <f t="shared" ref="EG56" si="1611">EF56*(EC56+EA11)</f>
        <v>3.0000000000000001E-3</v>
      </c>
      <c r="EH56" s="929">
        <f t="shared" si="1283"/>
        <v>609647.45215978473</v>
      </c>
      <c r="EI56" s="933"/>
      <c r="EJ56" s="139"/>
      <c r="EL56" s="1204"/>
      <c r="EM56" s="285" t="s">
        <v>1226</v>
      </c>
      <c r="EN56" s="114">
        <v>0.2</v>
      </c>
      <c r="EO56" s="137">
        <f t="shared" ref="EO56" si="1612">+ER50*EN56</f>
        <v>289505474.65559983</v>
      </c>
      <c r="EP56" s="115">
        <v>4.0000000000000001E-3</v>
      </c>
      <c r="EQ56" s="140">
        <v>4</v>
      </c>
      <c r="ER56" s="465">
        <f t="shared" si="1285"/>
        <v>868516.42396679951</v>
      </c>
      <c r="ES56" s="138"/>
      <c r="ET56" s="927">
        <f t="shared" si="1447"/>
        <v>3.3333333333333332E-4</v>
      </c>
      <c r="EU56" s="928">
        <f t="shared" ref="EU56" si="1613">ET56*(EQ56+EO11)</f>
        <v>3.0000000000000001E-3</v>
      </c>
      <c r="EV56" s="929">
        <f t="shared" si="1288"/>
        <v>868516.42396679951</v>
      </c>
      <c r="EW56" s="933"/>
      <c r="EX56" s="139"/>
      <c r="EZ56" s="1204"/>
      <c r="FA56" s="285" t="s">
        <v>1226</v>
      </c>
      <c r="FB56" s="114">
        <v>0.2</v>
      </c>
      <c r="FC56" s="137">
        <f t="shared" ref="FC56" si="1614">+FF50*FB56</f>
        <v>311423671.36752385</v>
      </c>
      <c r="FD56" s="115">
        <v>4.0000000000000001E-3</v>
      </c>
      <c r="FE56" s="140">
        <v>4</v>
      </c>
      <c r="FF56" s="465">
        <f t="shared" si="1290"/>
        <v>934271.01410257153</v>
      </c>
      <c r="FG56" s="138"/>
      <c r="FH56" s="927">
        <f t="shared" si="1450"/>
        <v>3.3333333333333332E-4</v>
      </c>
      <c r="FI56" s="928">
        <f t="shared" ref="FI56" si="1615">FH56*(FE56+FC11)</f>
        <v>3.0000000000000001E-3</v>
      </c>
      <c r="FJ56" s="929">
        <f t="shared" si="1293"/>
        <v>934271.01410257153</v>
      </c>
      <c r="FK56" s="933"/>
      <c r="FL56" s="139"/>
      <c r="FN56" s="1204"/>
      <c r="FO56" s="285" t="s">
        <v>1226</v>
      </c>
      <c r="FP56" s="114">
        <v>0.2</v>
      </c>
      <c r="FQ56" s="137">
        <f t="shared" ref="FQ56" si="1616">+FT50*FP56</f>
        <v>226585932.89695045</v>
      </c>
      <c r="FR56" s="115">
        <v>4.0000000000000001E-3</v>
      </c>
      <c r="FS56" s="140">
        <v>4</v>
      </c>
      <c r="FT56" s="465">
        <f t="shared" si="1295"/>
        <v>679757.79869085143</v>
      </c>
      <c r="FU56" s="138"/>
      <c r="FV56" s="927">
        <f t="shared" si="1453"/>
        <v>3.3333333333333332E-4</v>
      </c>
      <c r="FW56" s="928">
        <f t="shared" ref="FW56" si="1617">FV56*(FS56+FQ11)</f>
        <v>3.0000000000000001E-3</v>
      </c>
      <c r="FX56" s="929">
        <f t="shared" si="1298"/>
        <v>679757.79869085143</v>
      </c>
      <c r="FY56" s="933"/>
      <c r="FZ56" s="139"/>
      <c r="GB56" s="1204"/>
      <c r="GC56" s="285" t="s">
        <v>1226</v>
      </c>
      <c r="GD56" s="114">
        <v>0.2</v>
      </c>
      <c r="GE56" s="137">
        <f t="shared" ref="GE56" si="1618">+GH50*GD56</f>
        <v>175179390.80476791</v>
      </c>
      <c r="GF56" s="115">
        <v>4.0000000000000001E-3</v>
      </c>
      <c r="GG56" s="140">
        <v>4</v>
      </c>
      <c r="GH56" s="465">
        <f t="shared" si="1300"/>
        <v>525538.17241430376</v>
      </c>
      <c r="GI56" s="138"/>
      <c r="GJ56" s="927">
        <f t="shared" si="1456"/>
        <v>3.3333333333333332E-4</v>
      </c>
      <c r="GK56" s="928">
        <f t="shared" ref="GK56" si="1619">GJ56*(GG56+GE11)</f>
        <v>3.0000000000000001E-3</v>
      </c>
      <c r="GL56" s="929">
        <f t="shared" si="1303"/>
        <v>525538.17241430376</v>
      </c>
      <c r="GM56" s="933"/>
      <c r="GN56" s="139"/>
      <c r="GP56" s="1204"/>
      <c r="GQ56" s="285" t="s">
        <v>1226</v>
      </c>
      <c r="GR56" s="114">
        <v>0.2</v>
      </c>
      <c r="GS56" s="137">
        <f t="shared" ref="GS56" si="1620">+GV50*GR56</f>
        <v>109574156.65034142</v>
      </c>
      <c r="GT56" s="115">
        <v>4.0000000000000001E-3</v>
      </c>
      <c r="GU56" s="140">
        <v>4</v>
      </c>
      <c r="GV56" s="465">
        <f t="shared" si="1305"/>
        <v>328722.46995102428</v>
      </c>
      <c r="GW56" s="138"/>
      <c r="GX56" s="927">
        <f t="shared" si="1459"/>
        <v>3.3333333333333332E-4</v>
      </c>
      <c r="GY56" s="928">
        <f t="shared" ref="GY56" si="1621">GX56*(GU56+GS11)</f>
        <v>3.0000000000000001E-3</v>
      </c>
      <c r="GZ56" s="929">
        <f t="shared" si="1308"/>
        <v>328722.46995102428</v>
      </c>
      <c r="HA56" s="933"/>
      <c r="HB56" s="139"/>
      <c r="HD56" s="1204"/>
      <c r="HE56" s="285" t="s">
        <v>1226</v>
      </c>
      <c r="HF56" s="114">
        <v>0.2</v>
      </c>
      <c r="HG56" s="137">
        <f t="shared" ref="HG56" si="1622">+HJ50*HF56</f>
        <v>351994486.75742638</v>
      </c>
      <c r="HH56" s="115">
        <v>4.0000000000000001E-3</v>
      </c>
      <c r="HI56" s="140">
        <v>4</v>
      </c>
      <c r="HJ56" s="465">
        <f t="shared" si="1310"/>
        <v>1055983.4602722791</v>
      </c>
      <c r="HK56" s="138"/>
      <c r="HL56" s="927">
        <f t="shared" si="1462"/>
        <v>3.3333333333333332E-4</v>
      </c>
      <c r="HM56" s="928">
        <f t="shared" ref="HM56" si="1623">HL56*(HI56+HG11)</f>
        <v>3.0000000000000001E-3</v>
      </c>
      <c r="HN56" s="929">
        <f t="shared" si="1313"/>
        <v>1055983.4602722791</v>
      </c>
      <c r="HO56" s="933"/>
      <c r="HP56" s="139"/>
      <c r="HR56" s="1204"/>
      <c r="HS56" s="285" t="s">
        <v>1226</v>
      </c>
      <c r="HT56" s="114">
        <v>0.2</v>
      </c>
      <c r="HU56" s="137">
        <f t="shared" ref="HU56" si="1624">+HX50*HT56</f>
        <v>123637631.42410362</v>
      </c>
      <c r="HV56" s="115">
        <v>4.0000000000000001E-3</v>
      </c>
      <c r="HW56" s="140">
        <v>4</v>
      </c>
      <c r="HX56" s="465">
        <f t="shared" si="1315"/>
        <v>370912.89427231083</v>
      </c>
      <c r="HY56" s="138"/>
      <c r="HZ56" s="927">
        <f t="shared" si="1465"/>
        <v>3.3333333333333332E-4</v>
      </c>
      <c r="IA56" s="928">
        <f t="shared" ref="IA56" si="1625">HZ56*(HW56+HU11)</f>
        <v>3.0000000000000001E-3</v>
      </c>
      <c r="IB56" s="929">
        <f t="shared" si="1318"/>
        <v>370912.89427231083</v>
      </c>
      <c r="IC56" s="933"/>
      <c r="ID56" s="139"/>
      <c r="IF56" s="1204"/>
      <c r="IG56" s="285" t="s">
        <v>1226</v>
      </c>
      <c r="IH56" s="114">
        <v>0.2</v>
      </c>
      <c r="II56" s="137">
        <f t="shared" ref="II56" si="1626">+IL50*IH56</f>
        <v>83162837.686415553</v>
      </c>
      <c r="IJ56" s="115">
        <v>4.0000000000000001E-3</v>
      </c>
      <c r="IK56" s="140">
        <v>4</v>
      </c>
      <c r="IL56" s="465">
        <f t="shared" si="1320"/>
        <v>249488.51305924667</v>
      </c>
      <c r="IM56" s="138"/>
      <c r="IN56" s="927">
        <f t="shared" si="1468"/>
        <v>3.3333333333333332E-4</v>
      </c>
      <c r="IO56" s="928">
        <f t="shared" ref="IO56" si="1627">IN56*(IK56+II11)</f>
        <v>3.0000000000000001E-3</v>
      </c>
      <c r="IP56" s="929">
        <f t="shared" si="1323"/>
        <v>249488.51305924667</v>
      </c>
      <c r="IQ56" s="933"/>
      <c r="IR56" s="139"/>
      <c r="IT56" s="1204"/>
      <c r="IU56" s="285" t="s">
        <v>1226</v>
      </c>
      <c r="IV56" s="114">
        <v>0.2</v>
      </c>
      <c r="IW56" s="137">
        <f t="shared" ref="IW56" si="1628">+IZ50*IV56</f>
        <v>517141111.58061934</v>
      </c>
      <c r="IX56" s="115">
        <v>4.0000000000000001E-3</v>
      </c>
      <c r="IY56" s="140">
        <v>4</v>
      </c>
      <c r="IZ56" s="465">
        <f t="shared" si="1325"/>
        <v>1551423.3347418581</v>
      </c>
      <c r="JA56" s="138"/>
      <c r="JB56" s="927">
        <f t="shared" si="1471"/>
        <v>3.3333333333333332E-4</v>
      </c>
      <c r="JC56" s="928">
        <f t="shared" ref="JC56" si="1629">JB56*(IY56+IW11)</f>
        <v>3.0000000000000001E-3</v>
      </c>
      <c r="JD56" s="929">
        <f t="shared" si="1328"/>
        <v>1551423.3347418581</v>
      </c>
      <c r="JE56" s="933"/>
      <c r="JF56" s="139"/>
      <c r="JH56" s="1204"/>
      <c r="JI56" s="285" t="s">
        <v>1226</v>
      </c>
      <c r="JJ56" s="114">
        <v>0.2</v>
      </c>
      <c r="JK56" s="137">
        <f>+JN50*JJ56</f>
        <v>600303949.26703489</v>
      </c>
      <c r="JL56" s="115">
        <v>4.0000000000000001E-3</v>
      </c>
      <c r="JM56" s="140">
        <v>4</v>
      </c>
      <c r="JN56" s="465">
        <f t="shared" si="1329"/>
        <v>1800911.8478011047</v>
      </c>
      <c r="JO56" s="138"/>
      <c r="JP56" s="927">
        <f t="shared" si="1473"/>
        <v>3.3333333333333332E-4</v>
      </c>
      <c r="JQ56" s="928">
        <f t="shared" ref="JQ56" si="1630">JP56*(JM56+JK11)</f>
        <v>3.0000000000000001E-3</v>
      </c>
      <c r="JR56" s="929">
        <f t="shared" si="1332"/>
        <v>1800911.8478011047</v>
      </c>
      <c r="JS56" s="933"/>
      <c r="JT56" s="139"/>
      <c r="JV56" s="1204"/>
      <c r="JW56" s="285" t="s">
        <v>1226</v>
      </c>
      <c r="JX56" s="114">
        <v>0.2</v>
      </c>
      <c r="JY56" s="137">
        <f t="shared" ref="JY56" si="1631">+KB50*JX56</f>
        <v>174236972.58227843</v>
      </c>
      <c r="JZ56" s="115">
        <v>4.0000000000000001E-3</v>
      </c>
      <c r="KA56" s="140">
        <v>4</v>
      </c>
      <c r="KB56" s="465">
        <f t="shared" si="1334"/>
        <v>522710.91774683533</v>
      </c>
      <c r="KC56" s="138"/>
      <c r="KD56" s="927">
        <f t="shared" si="1476"/>
        <v>3.3333333333333332E-4</v>
      </c>
      <c r="KE56" s="928">
        <f t="shared" ref="KE56" si="1632">KD56*(KA56+JY11)</f>
        <v>3.0000000000000001E-3</v>
      </c>
      <c r="KF56" s="929">
        <f t="shared" si="1337"/>
        <v>522710.91774683533</v>
      </c>
      <c r="KG56" s="933"/>
      <c r="KH56" s="139"/>
      <c r="KJ56" s="1204"/>
      <c r="KK56" s="285" t="s">
        <v>1226</v>
      </c>
      <c r="KL56" s="114">
        <v>0.2</v>
      </c>
      <c r="KM56" s="137">
        <f t="shared" ref="KM56" si="1633">+KP50*KL56</f>
        <v>104772781.422683</v>
      </c>
      <c r="KN56" s="115">
        <v>4.0000000000000001E-3</v>
      </c>
      <c r="KO56" s="140">
        <v>4</v>
      </c>
      <c r="KP56" s="465">
        <f t="shared" si="1339"/>
        <v>314318.344268049</v>
      </c>
      <c r="KQ56" s="138"/>
      <c r="KR56" s="927">
        <f t="shared" si="1479"/>
        <v>3.3333333333333332E-4</v>
      </c>
      <c r="KS56" s="928">
        <f t="shared" ref="KS56" si="1634">KR56*(KO56+KM11)</f>
        <v>3.0000000000000001E-3</v>
      </c>
      <c r="KT56" s="929">
        <f t="shared" si="1342"/>
        <v>314318.344268049</v>
      </c>
      <c r="KU56" s="933"/>
      <c r="KV56" s="139"/>
      <c r="KX56" s="1204"/>
      <c r="KY56" s="285" t="s">
        <v>1226</v>
      </c>
      <c r="KZ56" s="114">
        <v>0.2</v>
      </c>
      <c r="LA56" s="137">
        <f t="shared" ref="LA56" si="1635">+LD50*KZ56</f>
        <v>85229693.096634373</v>
      </c>
      <c r="LB56" s="115">
        <v>4.0000000000000001E-3</v>
      </c>
      <c r="LC56" s="140">
        <v>4</v>
      </c>
      <c r="LD56" s="465">
        <f t="shared" si="1344"/>
        <v>255689.07928990314</v>
      </c>
      <c r="LE56" s="138"/>
      <c r="LF56" s="927">
        <f t="shared" si="1482"/>
        <v>3.3333333333333332E-4</v>
      </c>
      <c r="LG56" s="928">
        <f t="shared" ref="LG56" si="1636">LF56*(LC56+LA11)</f>
        <v>3.0000000000000001E-3</v>
      </c>
      <c r="LH56" s="929">
        <f t="shared" si="1347"/>
        <v>255689.07928990314</v>
      </c>
      <c r="LI56" s="933"/>
      <c r="LJ56" s="139"/>
      <c r="LL56" s="1204"/>
      <c r="LM56" s="285" t="s">
        <v>1226</v>
      </c>
      <c r="LN56" s="114">
        <v>0.2</v>
      </c>
      <c r="LO56" s="137">
        <f t="shared" ref="LO56" si="1637">+LR50*LN56</f>
        <v>222990530.51074186</v>
      </c>
      <c r="LP56" s="115">
        <v>4.0000000000000001E-3</v>
      </c>
      <c r="LQ56" s="140">
        <v>4</v>
      </c>
      <c r="LR56" s="465">
        <f t="shared" si="1349"/>
        <v>668971.5915322256</v>
      </c>
      <c r="LS56" s="138"/>
      <c r="LT56" s="927">
        <f t="shared" si="1485"/>
        <v>3.3333333333333332E-4</v>
      </c>
      <c r="LU56" s="928">
        <f t="shared" ref="LU56" si="1638">LT56*(LQ56+LO11)</f>
        <v>3.0000000000000001E-3</v>
      </c>
      <c r="LV56" s="929">
        <f t="shared" si="1352"/>
        <v>668971.5915322256</v>
      </c>
      <c r="LW56" s="933"/>
      <c r="LX56" s="139"/>
      <c r="LZ56" s="1204"/>
      <c r="MA56" s="285" t="s">
        <v>1226</v>
      </c>
      <c r="MB56" s="114">
        <v>0.2</v>
      </c>
      <c r="MC56" s="137">
        <f t="shared" ref="MC56" si="1639">+MF50*MB56</f>
        <v>221192829.31763759</v>
      </c>
      <c r="MD56" s="115">
        <v>4.0000000000000001E-3</v>
      </c>
      <c r="ME56" s="140">
        <v>4</v>
      </c>
      <c r="MF56" s="465">
        <f t="shared" si="1354"/>
        <v>663578.48795291281</v>
      </c>
      <c r="MG56" s="138"/>
      <c r="MH56" s="927">
        <f t="shared" si="1488"/>
        <v>3.3333333333333332E-4</v>
      </c>
      <c r="MI56" s="928">
        <f t="shared" ref="MI56" si="1640">MH56*(ME56+MC11)</f>
        <v>3.0000000000000001E-3</v>
      </c>
      <c r="MJ56" s="929">
        <f t="shared" si="1357"/>
        <v>663578.48795291281</v>
      </c>
      <c r="MK56" s="933"/>
      <c r="ML56" s="139"/>
      <c r="MN56" s="1204"/>
      <c r="MO56" s="285" t="s">
        <v>1226</v>
      </c>
      <c r="MP56" s="114">
        <v>0.2</v>
      </c>
      <c r="MQ56" s="137">
        <f t="shared" ref="MQ56" si="1641">+MT50*MP56</f>
        <v>226340518.22097036</v>
      </c>
      <c r="MR56" s="115">
        <v>4.0000000000000001E-3</v>
      </c>
      <c r="MS56" s="140">
        <v>4</v>
      </c>
      <c r="MT56" s="465">
        <f t="shared" si="1359"/>
        <v>679021.5546629111</v>
      </c>
      <c r="MU56" s="138"/>
      <c r="MV56" s="927">
        <f t="shared" si="1491"/>
        <v>3.3333333333333332E-4</v>
      </c>
      <c r="MW56" s="928">
        <f t="shared" ref="MW56" si="1642">MV56*(MS56+MQ11)</f>
        <v>3.0000000000000001E-3</v>
      </c>
      <c r="MX56" s="929">
        <f t="shared" si="1362"/>
        <v>679021.5546629111</v>
      </c>
      <c r="MY56" s="933"/>
      <c r="MZ56" s="139"/>
      <c r="NB56" s="1204"/>
      <c r="NC56" s="285" t="s">
        <v>1226</v>
      </c>
      <c r="ND56" s="114">
        <v>0.2</v>
      </c>
      <c r="NE56" s="137">
        <f t="shared" ref="NE56" si="1643">+NH50*ND56</f>
        <v>433170402.20873016</v>
      </c>
      <c r="NF56" s="115">
        <v>4.0000000000000001E-3</v>
      </c>
      <c r="NG56" s="140">
        <v>4</v>
      </c>
      <c r="NH56" s="465">
        <f t="shared" si="1364"/>
        <v>1299511.2066261906</v>
      </c>
      <c r="NI56" s="138"/>
      <c r="NJ56" s="927">
        <f t="shared" si="1494"/>
        <v>3.3333333333333332E-4</v>
      </c>
      <c r="NK56" s="928">
        <f t="shared" ref="NK56" si="1644">NJ56*(NG56+NE11)</f>
        <v>3.0000000000000001E-3</v>
      </c>
      <c r="NL56" s="929">
        <f t="shared" si="1367"/>
        <v>1299511.2066261906</v>
      </c>
      <c r="NM56" s="933"/>
      <c r="NN56" s="139"/>
      <c r="NP56" s="1204"/>
      <c r="NQ56" s="285" t="s">
        <v>1226</v>
      </c>
      <c r="NR56" s="114">
        <v>0.2</v>
      </c>
      <c r="NS56" s="137">
        <f t="shared" ref="NS56" si="1645">+NV50*NR56</f>
        <v>68955706.032562479</v>
      </c>
      <c r="NT56" s="115">
        <v>4.0000000000000001E-3</v>
      </c>
      <c r="NU56" s="140">
        <v>4</v>
      </c>
      <c r="NV56" s="465">
        <f t="shared" si="1369"/>
        <v>206867.11809768743</v>
      </c>
      <c r="NW56" s="138"/>
      <c r="NX56" s="927">
        <f t="shared" si="1497"/>
        <v>3.3333333333333332E-4</v>
      </c>
      <c r="NY56" s="928">
        <f t="shared" ref="NY56" si="1646">NX56*(NU56+NS11)</f>
        <v>3.0000000000000001E-3</v>
      </c>
      <c r="NZ56" s="929">
        <f t="shared" si="1372"/>
        <v>206867.11809768743</v>
      </c>
      <c r="OA56" s="933"/>
      <c r="OB56" s="139"/>
      <c r="OD56" s="1204"/>
      <c r="OE56" s="285" t="s">
        <v>1226</v>
      </c>
      <c r="OF56" s="114">
        <v>0.2</v>
      </c>
      <c r="OG56" s="137">
        <f t="shared" ref="OG56" si="1647">+OJ50*OF56</f>
        <v>89868630.055529818</v>
      </c>
      <c r="OH56" s="115">
        <v>4.0000000000000001E-3</v>
      </c>
      <c r="OI56" s="140">
        <v>4</v>
      </c>
      <c r="OJ56" s="465">
        <f t="shared" si="1374"/>
        <v>269605.89016658947</v>
      </c>
      <c r="OK56" s="138"/>
      <c r="OL56" s="927">
        <f t="shared" si="1500"/>
        <v>3.3333333333333332E-4</v>
      </c>
      <c r="OM56" s="928">
        <f t="shared" ref="OM56" si="1648">OL56*(OI56+OG11)</f>
        <v>3.0000000000000001E-3</v>
      </c>
      <c r="ON56" s="929">
        <f t="shared" si="1377"/>
        <v>269605.89016658947</v>
      </c>
      <c r="OO56" s="933"/>
      <c r="OP56" s="139"/>
      <c r="OR56" s="1204"/>
      <c r="OS56" s="285" t="s">
        <v>1226</v>
      </c>
      <c r="OT56" s="114">
        <v>0.2</v>
      </c>
      <c r="OU56" s="137">
        <f t="shared" ref="OU56" si="1649">+OX50*OT56</f>
        <v>113538731.6377143</v>
      </c>
      <c r="OV56" s="115">
        <v>4.0000000000000001E-3</v>
      </c>
      <c r="OW56" s="140">
        <v>4</v>
      </c>
      <c r="OX56" s="465">
        <f t="shared" si="1379"/>
        <v>340616.19491314288</v>
      </c>
      <c r="OY56" s="138"/>
      <c r="OZ56" s="927">
        <f t="shared" si="1503"/>
        <v>3.3333333333333332E-4</v>
      </c>
      <c r="PA56" s="928">
        <f t="shared" ref="PA56" si="1650">OZ56*(OW56+OU11)</f>
        <v>3.0000000000000001E-3</v>
      </c>
      <c r="PB56" s="929">
        <f t="shared" si="1382"/>
        <v>340616.19491314288</v>
      </c>
      <c r="PC56" s="933"/>
      <c r="PD56" s="139"/>
      <c r="PF56" s="1204"/>
      <c r="PG56" s="285" t="s">
        <v>1226</v>
      </c>
      <c r="PH56" s="114">
        <v>0.2</v>
      </c>
      <c r="PI56" s="137">
        <f t="shared" ref="PI56" si="1651">+PL50*PH56</f>
        <v>28872448.537686396</v>
      </c>
      <c r="PJ56" s="115">
        <v>4.0000000000000001E-3</v>
      </c>
      <c r="PK56" s="140">
        <v>4</v>
      </c>
      <c r="PL56" s="465">
        <f t="shared" si="1384"/>
        <v>86617.345613059195</v>
      </c>
      <c r="PM56" s="138"/>
      <c r="PN56" s="927">
        <f t="shared" si="1506"/>
        <v>3.3333333333333332E-4</v>
      </c>
      <c r="PO56" s="928">
        <f t="shared" ref="PO56" si="1652">PN56*(PK56+PI11)</f>
        <v>3.0000000000000001E-3</v>
      </c>
      <c r="PP56" s="929">
        <f t="shared" si="1387"/>
        <v>86617.345613059195</v>
      </c>
      <c r="PQ56" s="933"/>
      <c r="PR56" s="139"/>
      <c r="PT56" s="1204"/>
      <c r="PU56" s="285" t="s">
        <v>1226</v>
      </c>
      <c r="PV56" s="114">
        <v>0.2</v>
      </c>
      <c r="PW56" s="137">
        <f t="shared" ref="PW56" si="1653">+PZ50*PV56</f>
        <v>44557201.470463991</v>
      </c>
      <c r="PX56" s="115">
        <v>4.0000000000000001E-3</v>
      </c>
      <c r="PY56" s="140">
        <v>4</v>
      </c>
      <c r="PZ56" s="465">
        <f t="shared" si="1389"/>
        <v>133671.60441139198</v>
      </c>
      <c r="QA56" s="138"/>
      <c r="QB56" s="927">
        <f t="shared" si="1509"/>
        <v>3.3333333333333332E-4</v>
      </c>
      <c r="QC56" s="928">
        <f t="shared" ref="QC56" si="1654">QB56*(PY56+PW11)</f>
        <v>3.0000000000000001E-3</v>
      </c>
      <c r="QD56" s="929">
        <f t="shared" si="1392"/>
        <v>133671.60441139198</v>
      </c>
      <c r="QE56" s="933"/>
      <c r="QF56" s="139"/>
      <c r="QH56" s="1204"/>
      <c r="QI56" s="285" t="s">
        <v>1226</v>
      </c>
      <c r="QJ56" s="114">
        <v>0.2</v>
      </c>
      <c r="QK56" s="137">
        <f t="shared" ref="QK56" si="1655">+QN50*QJ56</f>
        <v>16673196.25663716</v>
      </c>
      <c r="QL56" s="115">
        <v>4.0000000000000001E-3</v>
      </c>
      <c r="QM56" s="140">
        <v>4</v>
      </c>
      <c r="QN56" s="465">
        <f t="shared" si="1394"/>
        <v>50019.588769911483</v>
      </c>
      <c r="QO56" s="138"/>
      <c r="QP56" s="927">
        <f t="shared" si="1512"/>
        <v>3.3333333333333332E-4</v>
      </c>
      <c r="QQ56" s="928">
        <f t="shared" ref="QQ56" si="1656">QP56*(QM56+QK11)</f>
        <v>3.0000000000000001E-3</v>
      </c>
      <c r="QR56" s="929">
        <f t="shared" si="1397"/>
        <v>50019.588769911483</v>
      </c>
      <c r="QS56" s="933"/>
      <c r="QT56" s="139"/>
      <c r="QV56" s="1204"/>
      <c r="QW56" s="285" t="s">
        <v>1226</v>
      </c>
      <c r="QX56" s="114">
        <v>0.2</v>
      </c>
      <c r="QY56" s="137">
        <f t="shared" ref="QY56" si="1657">+RB50*QX56</f>
        <v>37586200.167007282</v>
      </c>
      <c r="QZ56" s="115">
        <v>4.0000000000000001E-3</v>
      </c>
      <c r="RA56" s="140">
        <v>4</v>
      </c>
      <c r="RB56" s="465">
        <f t="shared" si="1399"/>
        <v>112758.60050102185</v>
      </c>
      <c r="RC56" s="138"/>
      <c r="RD56" s="927">
        <f t="shared" si="1515"/>
        <v>3.3333333333333332E-4</v>
      </c>
      <c r="RE56" s="928">
        <f t="shared" ref="RE56" si="1658">RD56*(RA56+QY11)</f>
        <v>3.0000000000000001E-3</v>
      </c>
      <c r="RF56" s="929">
        <f t="shared" si="1402"/>
        <v>112758.60050102185</v>
      </c>
      <c r="RG56" s="933"/>
      <c r="RH56" s="139"/>
      <c r="RJ56" s="1204"/>
      <c r="RK56" s="285" t="s">
        <v>1226</v>
      </c>
      <c r="RL56" s="114">
        <v>0.2</v>
      </c>
      <c r="RM56" s="137">
        <f t="shared" ref="RM56" si="1659">+RP50*RL56</f>
        <v>16717989.818269491</v>
      </c>
      <c r="RN56" s="115">
        <v>4.0000000000000001E-3</v>
      </c>
      <c r="RO56" s="140">
        <v>4</v>
      </c>
      <c r="RP56" s="465">
        <f t="shared" si="1404"/>
        <v>50153.969454808474</v>
      </c>
      <c r="RQ56" s="138"/>
      <c r="RR56" s="927">
        <f t="shared" si="1518"/>
        <v>3.3333333333333332E-4</v>
      </c>
      <c r="RS56" s="928">
        <f t="shared" ref="RS56" si="1660">RR56*(RO56+RM11)</f>
        <v>3.0000000000000001E-3</v>
      </c>
      <c r="RT56" s="929">
        <f t="shared" si="1407"/>
        <v>50153.969454808474</v>
      </c>
      <c r="RU56" s="933"/>
      <c r="RV56" s="139"/>
      <c r="RX56" s="1204"/>
      <c r="RY56" s="285" t="s">
        <v>1226</v>
      </c>
      <c r="RZ56" s="114">
        <v>0.2</v>
      </c>
      <c r="SA56" s="137">
        <f t="shared" ref="SA56" si="1661">+SD50*RZ56</f>
        <v>25386947.885958046</v>
      </c>
      <c r="SB56" s="115">
        <v>4.0000000000000001E-3</v>
      </c>
      <c r="SC56" s="140">
        <v>4</v>
      </c>
      <c r="SD56" s="465">
        <f t="shared" si="1409"/>
        <v>76160.843657874138</v>
      </c>
      <c r="SE56" s="138"/>
      <c r="SF56" s="927">
        <f t="shared" si="1521"/>
        <v>3.3333333333333332E-4</v>
      </c>
      <c r="SG56" s="928">
        <f t="shared" ref="SG56" si="1662">SF56*(SC56+SA11)</f>
        <v>3.0000000000000001E-3</v>
      </c>
      <c r="SH56" s="929">
        <f t="shared" si="1412"/>
        <v>76160.843657874138</v>
      </c>
      <c r="SI56" s="933"/>
      <c r="SJ56" s="139"/>
      <c r="SL56" s="1204"/>
      <c r="SM56" s="285" t="s">
        <v>1226</v>
      </c>
      <c r="SN56" s="114">
        <v>0.2</v>
      </c>
      <c r="SO56" s="137">
        <f t="shared" ref="SO56" si="1663">+SR50*SN56</f>
        <v>0</v>
      </c>
      <c r="SP56" s="115">
        <v>4.0000000000000001E-3</v>
      </c>
      <c r="SQ56" s="140">
        <v>4</v>
      </c>
      <c r="SR56" s="465">
        <f t="shared" si="1414"/>
        <v>0</v>
      </c>
      <c r="SS56" s="138"/>
      <c r="ST56" s="927">
        <f t="shared" si="1524"/>
        <v>3.3333333333333332E-4</v>
      </c>
      <c r="SU56" s="928">
        <f t="shared" ref="SU56" si="1664">ST56*(SQ56+SO11)</f>
        <v>3.0000000000000001E-3</v>
      </c>
      <c r="SV56" s="929">
        <f t="shared" si="1417"/>
        <v>0</v>
      </c>
      <c r="SW56" s="933"/>
      <c r="SX56" s="139"/>
      <c r="SZ56" s="1204"/>
      <c r="TA56" s="285" t="s">
        <v>1226</v>
      </c>
      <c r="TB56" s="114">
        <v>0.2</v>
      </c>
      <c r="TC56" s="137">
        <f t="shared" ref="TC56" si="1665">+TF50*TB56</f>
        <v>6450963532.849535</v>
      </c>
      <c r="TD56" s="115">
        <v>4.0000000000000001E-3</v>
      </c>
      <c r="TE56" s="140">
        <v>4</v>
      </c>
      <c r="TF56" s="465">
        <f t="shared" si="1419"/>
        <v>19352890.598548606</v>
      </c>
      <c r="TG56" s="138"/>
      <c r="TH56" s="927">
        <f t="shared" si="1527"/>
        <v>3.3333333333333332E-4</v>
      </c>
      <c r="TI56" s="928">
        <f t="shared" ref="TI56" si="1666">TH56*(TE56+TC11)</f>
        <v>3.0000000000000001E-3</v>
      </c>
      <c r="TJ56" s="929">
        <f t="shared" si="1422"/>
        <v>19352890.598548606</v>
      </c>
      <c r="TK56" s="933"/>
      <c r="TL56" s="139"/>
    </row>
    <row r="57" spans="2:532" ht="18.75" customHeight="1" thickBot="1">
      <c r="B57" s="1205"/>
      <c r="C57" s="284" t="s">
        <v>1227</v>
      </c>
      <c r="D57" s="116">
        <v>0.1</v>
      </c>
      <c r="E57" s="141">
        <f>+H50*D57</f>
        <v>289970891.70897168</v>
      </c>
      <c r="F57" s="117">
        <v>5.0000000000000001E-3</v>
      </c>
      <c r="G57" s="142">
        <v>4</v>
      </c>
      <c r="H57" s="466">
        <f>L57</f>
        <v>1087390.8439086438</v>
      </c>
      <c r="I57" s="138"/>
      <c r="J57" s="927">
        <f>+F57/12</f>
        <v>4.1666666666666669E-4</v>
      </c>
      <c r="K57" s="928">
        <f>J57*(G57+E11)</f>
        <v>3.7500000000000003E-3</v>
      </c>
      <c r="L57" s="929">
        <f>K57*E57</f>
        <v>1087390.8439086438</v>
      </c>
      <c r="M57" s="933"/>
      <c r="N57" s="139"/>
      <c r="P57" s="1205"/>
      <c r="Q57" s="284" t="s">
        <v>1227</v>
      </c>
      <c r="R57" s="116">
        <v>0.1</v>
      </c>
      <c r="S57" s="141">
        <f>+V50*R57</f>
        <v>68179399.962353095</v>
      </c>
      <c r="T57" s="117">
        <v>5.0000000000000001E-3</v>
      </c>
      <c r="U57" s="142">
        <v>4</v>
      </c>
      <c r="V57" s="466">
        <f t="shared" si="1243"/>
        <v>255672.74985882413</v>
      </c>
      <c r="W57" s="138"/>
      <c r="X57" s="927">
        <f t="shared" si="1423"/>
        <v>4.1666666666666669E-4</v>
      </c>
      <c r="Y57" s="928">
        <f t="shared" ref="Y57" si="1667">X57*(U57+S11)</f>
        <v>3.7500000000000003E-3</v>
      </c>
      <c r="Z57" s="929">
        <f t="shared" si="1246"/>
        <v>255672.74985882413</v>
      </c>
      <c r="AA57" s="933"/>
      <c r="AB57" s="139"/>
      <c r="AD57" s="1205"/>
      <c r="AE57" s="284" t="s">
        <v>1227</v>
      </c>
      <c r="AF57" s="116">
        <v>0.1</v>
      </c>
      <c r="AG57" s="141">
        <f>+AJ50*AF57</f>
        <v>358150291.67132473</v>
      </c>
      <c r="AH57" s="117">
        <v>5.0000000000000001E-3</v>
      </c>
      <c r="AI57" s="142">
        <v>4</v>
      </c>
      <c r="AJ57" s="466">
        <f t="shared" si="1247"/>
        <v>1343063.5937674679</v>
      </c>
      <c r="AK57" s="138"/>
      <c r="AL57" s="927">
        <f t="shared" si="1425"/>
        <v>4.1666666666666669E-4</v>
      </c>
      <c r="AM57" s="928">
        <f t="shared" ref="AM57" si="1668">AL57*(AI57+AG11)</f>
        <v>3.7500000000000003E-3</v>
      </c>
      <c r="AN57" s="929">
        <f t="shared" si="1250"/>
        <v>1343063.5937674679</v>
      </c>
      <c r="AO57" s="933"/>
      <c r="AP57" s="139"/>
      <c r="AR57" s="1205"/>
      <c r="AS57" s="284" t="s">
        <v>1227</v>
      </c>
      <c r="AT57" s="116">
        <v>0.1</v>
      </c>
      <c r="AU57" s="141">
        <f>+AX50*AT57</f>
        <v>103405609.88640171</v>
      </c>
      <c r="AV57" s="117">
        <v>5.0000000000000001E-3</v>
      </c>
      <c r="AW57" s="142">
        <v>4</v>
      </c>
      <c r="AX57" s="466">
        <f t="shared" si="1251"/>
        <v>387771.03707400645</v>
      </c>
      <c r="AY57" s="138"/>
      <c r="AZ57" s="927">
        <f t="shared" si="1427"/>
        <v>4.1666666666666669E-4</v>
      </c>
      <c r="BA57" s="928">
        <f t="shared" ref="BA57" si="1669">AZ57*(AW57+AU11)</f>
        <v>3.7500000000000003E-3</v>
      </c>
      <c r="BB57" s="929">
        <f t="shared" si="1254"/>
        <v>387771.03707400645</v>
      </c>
      <c r="BC57" s="933"/>
      <c r="BD57" s="139"/>
      <c r="BF57" s="1205"/>
      <c r="BG57" s="284" t="s">
        <v>1227</v>
      </c>
      <c r="BH57" s="116">
        <v>0.1</v>
      </c>
      <c r="BI57" s="141">
        <f>+BL50*BH57</f>
        <v>148348139.71400851</v>
      </c>
      <c r="BJ57" s="117">
        <v>5.0000000000000001E-3</v>
      </c>
      <c r="BK57" s="142">
        <v>4</v>
      </c>
      <c r="BL57" s="466">
        <f t="shared" si="1255"/>
        <v>556305.5239275319</v>
      </c>
      <c r="BM57" s="138"/>
      <c r="BN57" s="927">
        <f t="shared" si="1429"/>
        <v>4.1666666666666669E-4</v>
      </c>
      <c r="BO57" s="928">
        <f t="shared" ref="BO57" si="1670">BN57*(BK57+BI11)</f>
        <v>3.7500000000000003E-3</v>
      </c>
      <c r="BP57" s="929">
        <f t="shared" si="1258"/>
        <v>556305.5239275319</v>
      </c>
      <c r="BQ57" s="933"/>
      <c r="BR57" s="139"/>
      <c r="BT57" s="1205"/>
      <c r="BU57" s="284" t="s">
        <v>1227</v>
      </c>
      <c r="BV57" s="116">
        <v>0.1</v>
      </c>
      <c r="BW57" s="141">
        <f t="shared" ref="BW57" si="1671">+BZ50*BV57</f>
        <v>126914509.45211041</v>
      </c>
      <c r="BX57" s="117">
        <v>5.0000000000000001E-3</v>
      </c>
      <c r="BY57" s="142">
        <v>4</v>
      </c>
      <c r="BZ57" s="466">
        <f t="shared" si="1260"/>
        <v>475929.41044541408</v>
      </c>
      <c r="CA57" s="138"/>
      <c r="CB57" s="927">
        <f t="shared" si="1432"/>
        <v>4.1666666666666669E-4</v>
      </c>
      <c r="CC57" s="928">
        <f t="shared" ref="CC57" si="1672">CB57*(BY57+BW11)</f>
        <v>3.7500000000000003E-3</v>
      </c>
      <c r="CD57" s="929">
        <f t="shared" si="1263"/>
        <v>475929.41044541408</v>
      </c>
      <c r="CE57" s="933"/>
      <c r="CF57" s="139"/>
      <c r="CH57" s="1205"/>
      <c r="CI57" s="284" t="s">
        <v>1227</v>
      </c>
      <c r="CJ57" s="116">
        <v>0.1</v>
      </c>
      <c r="CK57" s="141">
        <f t="shared" ref="CK57" si="1673">+CN50*CJ57</f>
        <v>126861500.46265423</v>
      </c>
      <c r="CL57" s="117">
        <v>5.0000000000000001E-3</v>
      </c>
      <c r="CM57" s="142">
        <v>4</v>
      </c>
      <c r="CN57" s="466">
        <f t="shared" si="1265"/>
        <v>475730.62673495343</v>
      </c>
      <c r="CO57" s="138"/>
      <c r="CP57" s="927">
        <f t="shared" si="1435"/>
        <v>4.1666666666666669E-4</v>
      </c>
      <c r="CQ57" s="928">
        <f t="shared" ref="CQ57" si="1674">CP57*(CM57+CK11)</f>
        <v>3.7500000000000003E-3</v>
      </c>
      <c r="CR57" s="929">
        <f t="shared" si="1268"/>
        <v>475730.62673495343</v>
      </c>
      <c r="CS57" s="933"/>
      <c r="CT57" s="139"/>
      <c r="CV57" s="1205"/>
      <c r="CW57" s="284" t="s">
        <v>1227</v>
      </c>
      <c r="CX57" s="116">
        <v>0.1</v>
      </c>
      <c r="CY57" s="141">
        <f t="shared" ref="CY57" si="1675">+DB50*CX57</f>
        <v>69583515.15384227</v>
      </c>
      <c r="CZ57" s="117">
        <v>5.0000000000000001E-3</v>
      </c>
      <c r="DA57" s="142">
        <v>4</v>
      </c>
      <c r="DB57" s="466">
        <f t="shared" si="1270"/>
        <v>260938.18182690855</v>
      </c>
      <c r="DC57" s="138"/>
      <c r="DD57" s="927">
        <f t="shared" si="1438"/>
        <v>4.1666666666666669E-4</v>
      </c>
      <c r="DE57" s="928">
        <f t="shared" ref="DE57" si="1676">DD57*(DA57+CY11)</f>
        <v>3.7500000000000003E-3</v>
      </c>
      <c r="DF57" s="929">
        <f t="shared" si="1273"/>
        <v>260938.18182690855</v>
      </c>
      <c r="DG57" s="933"/>
      <c r="DH57" s="139"/>
      <c r="DJ57" s="1205"/>
      <c r="DK57" s="284" t="s">
        <v>1227</v>
      </c>
      <c r="DL57" s="116">
        <v>0.1</v>
      </c>
      <c r="DM57" s="141">
        <f t="shared" ref="DM57" si="1677">+DP50*DL57</f>
        <v>141462554.86850175</v>
      </c>
      <c r="DN57" s="117">
        <v>5.0000000000000001E-3</v>
      </c>
      <c r="DO57" s="142">
        <v>4</v>
      </c>
      <c r="DP57" s="466">
        <f t="shared" si="1275"/>
        <v>530484.58075688162</v>
      </c>
      <c r="DQ57" s="138"/>
      <c r="DR57" s="927">
        <f t="shared" si="1441"/>
        <v>4.1666666666666669E-4</v>
      </c>
      <c r="DS57" s="928">
        <f t="shared" ref="DS57" si="1678">DR57*(DO57+DM11)</f>
        <v>3.7500000000000003E-3</v>
      </c>
      <c r="DT57" s="929">
        <f t="shared" si="1278"/>
        <v>530484.58075688162</v>
      </c>
      <c r="DU57" s="933"/>
      <c r="DV57" s="139"/>
      <c r="DX57" s="1205"/>
      <c r="DY57" s="284" t="s">
        <v>1227</v>
      </c>
      <c r="DZ57" s="116">
        <v>0.1</v>
      </c>
      <c r="EA57" s="141">
        <f t="shared" ref="EA57" si="1679">+ED50*DZ57</f>
        <v>101607908.69329745</v>
      </c>
      <c r="EB57" s="117">
        <v>5.0000000000000001E-3</v>
      </c>
      <c r="EC57" s="142">
        <v>4</v>
      </c>
      <c r="ED57" s="466">
        <f t="shared" si="1280"/>
        <v>381029.65759986546</v>
      </c>
      <c r="EE57" s="138"/>
      <c r="EF57" s="927">
        <f t="shared" si="1444"/>
        <v>4.1666666666666669E-4</v>
      </c>
      <c r="EG57" s="928">
        <f t="shared" ref="EG57" si="1680">EF57*(EC57+EA11)</f>
        <v>3.7500000000000003E-3</v>
      </c>
      <c r="EH57" s="929">
        <f t="shared" si="1283"/>
        <v>381029.65759986546</v>
      </c>
      <c r="EI57" s="933"/>
      <c r="EJ57" s="139"/>
      <c r="EL57" s="1205"/>
      <c r="EM57" s="284" t="s">
        <v>1227</v>
      </c>
      <c r="EN57" s="116">
        <v>0.1</v>
      </c>
      <c r="EO57" s="141">
        <f t="shared" ref="EO57" si="1681">+ER50*EN57</f>
        <v>144752737.32779992</v>
      </c>
      <c r="EP57" s="117">
        <v>5.0000000000000001E-3</v>
      </c>
      <c r="EQ57" s="142">
        <v>4</v>
      </c>
      <c r="ER57" s="466">
        <f t="shared" si="1285"/>
        <v>542822.76497924968</v>
      </c>
      <c r="ES57" s="138"/>
      <c r="ET57" s="927">
        <f t="shared" si="1447"/>
        <v>4.1666666666666669E-4</v>
      </c>
      <c r="EU57" s="928">
        <f t="shared" ref="EU57" si="1682">ET57*(EQ57+EO11)</f>
        <v>3.7500000000000003E-3</v>
      </c>
      <c r="EV57" s="929">
        <f t="shared" si="1288"/>
        <v>542822.76497924968</v>
      </c>
      <c r="EW57" s="933"/>
      <c r="EX57" s="139"/>
      <c r="EZ57" s="1205"/>
      <c r="FA57" s="284" t="s">
        <v>1227</v>
      </c>
      <c r="FB57" s="116">
        <v>0.1</v>
      </c>
      <c r="FC57" s="141">
        <f t="shared" ref="FC57" si="1683">+FF50*FB57</f>
        <v>155711835.68376192</v>
      </c>
      <c r="FD57" s="117">
        <v>5.0000000000000001E-3</v>
      </c>
      <c r="FE57" s="142">
        <v>4</v>
      </c>
      <c r="FF57" s="466">
        <f t="shared" si="1290"/>
        <v>583919.38381410728</v>
      </c>
      <c r="FG57" s="138"/>
      <c r="FH57" s="927">
        <f t="shared" si="1450"/>
        <v>4.1666666666666669E-4</v>
      </c>
      <c r="FI57" s="928">
        <f t="shared" ref="FI57" si="1684">FH57*(FE57+FC11)</f>
        <v>3.7500000000000003E-3</v>
      </c>
      <c r="FJ57" s="929">
        <f t="shared" si="1293"/>
        <v>583919.38381410728</v>
      </c>
      <c r="FK57" s="933"/>
      <c r="FL57" s="139"/>
      <c r="FN57" s="1205"/>
      <c r="FO57" s="284" t="s">
        <v>1227</v>
      </c>
      <c r="FP57" s="116">
        <v>0.1</v>
      </c>
      <c r="FQ57" s="141">
        <f t="shared" ref="FQ57" si="1685">+FT50*FP57</f>
        <v>113292966.44847523</v>
      </c>
      <c r="FR57" s="117">
        <v>5.0000000000000001E-3</v>
      </c>
      <c r="FS57" s="142">
        <v>4</v>
      </c>
      <c r="FT57" s="466">
        <f t="shared" si="1295"/>
        <v>424848.62418178213</v>
      </c>
      <c r="FU57" s="138"/>
      <c r="FV57" s="927">
        <f t="shared" si="1453"/>
        <v>4.1666666666666669E-4</v>
      </c>
      <c r="FW57" s="928">
        <f t="shared" ref="FW57" si="1686">FV57*(FS57+FQ11)</f>
        <v>3.7500000000000003E-3</v>
      </c>
      <c r="FX57" s="929">
        <f t="shared" si="1298"/>
        <v>424848.62418178213</v>
      </c>
      <c r="FY57" s="933"/>
      <c r="FZ57" s="139"/>
      <c r="GB57" s="1205"/>
      <c r="GC57" s="284" t="s">
        <v>1227</v>
      </c>
      <c r="GD57" s="116">
        <v>0.1</v>
      </c>
      <c r="GE57" s="141">
        <f t="shared" ref="GE57" si="1687">+GH50*GD57</f>
        <v>87589695.402383953</v>
      </c>
      <c r="GF57" s="117">
        <v>5.0000000000000001E-3</v>
      </c>
      <c r="GG57" s="142">
        <v>4</v>
      </c>
      <c r="GH57" s="466">
        <f t="shared" si="1300"/>
        <v>328461.35775893985</v>
      </c>
      <c r="GI57" s="138"/>
      <c r="GJ57" s="927">
        <f t="shared" si="1456"/>
        <v>4.1666666666666669E-4</v>
      </c>
      <c r="GK57" s="928">
        <f t="shared" ref="GK57" si="1688">GJ57*(GG57+GE11)</f>
        <v>3.7500000000000003E-3</v>
      </c>
      <c r="GL57" s="929">
        <f t="shared" si="1303"/>
        <v>328461.35775893985</v>
      </c>
      <c r="GM57" s="933"/>
      <c r="GN57" s="139"/>
      <c r="GP57" s="1205"/>
      <c r="GQ57" s="284" t="s">
        <v>1227</v>
      </c>
      <c r="GR57" s="116">
        <v>0.1</v>
      </c>
      <c r="GS57" s="141">
        <f t="shared" ref="GS57" si="1689">+GV50*GR57</f>
        <v>54787078.325170711</v>
      </c>
      <c r="GT57" s="117">
        <v>5.0000000000000001E-3</v>
      </c>
      <c r="GU57" s="142">
        <v>4</v>
      </c>
      <c r="GV57" s="466">
        <f t="shared" si="1305"/>
        <v>205451.54371939017</v>
      </c>
      <c r="GW57" s="138"/>
      <c r="GX57" s="927">
        <f t="shared" si="1459"/>
        <v>4.1666666666666669E-4</v>
      </c>
      <c r="GY57" s="928">
        <f t="shared" ref="GY57" si="1690">GX57*(GU57+GS11)</f>
        <v>3.7500000000000003E-3</v>
      </c>
      <c r="GZ57" s="929">
        <f t="shared" si="1308"/>
        <v>205451.54371939017</v>
      </c>
      <c r="HA57" s="933"/>
      <c r="HB57" s="139"/>
      <c r="HD57" s="1205"/>
      <c r="HE57" s="284" t="s">
        <v>1227</v>
      </c>
      <c r="HF57" s="116">
        <v>0.1</v>
      </c>
      <c r="HG57" s="141">
        <f t="shared" ref="HG57" si="1691">+HJ50*HF57</f>
        <v>175997243.37871319</v>
      </c>
      <c r="HH57" s="117">
        <v>5.0000000000000001E-3</v>
      </c>
      <c r="HI57" s="142">
        <v>4</v>
      </c>
      <c r="HJ57" s="466">
        <f t="shared" si="1310"/>
        <v>659989.6626701745</v>
      </c>
      <c r="HK57" s="138"/>
      <c r="HL57" s="927">
        <f t="shared" si="1462"/>
        <v>4.1666666666666669E-4</v>
      </c>
      <c r="HM57" s="928">
        <f t="shared" ref="HM57" si="1692">HL57*(HI57+HG11)</f>
        <v>3.7500000000000003E-3</v>
      </c>
      <c r="HN57" s="929">
        <f t="shared" si="1313"/>
        <v>659989.6626701745</v>
      </c>
      <c r="HO57" s="933"/>
      <c r="HP57" s="139"/>
      <c r="HR57" s="1205"/>
      <c r="HS57" s="284" t="s">
        <v>1227</v>
      </c>
      <c r="HT57" s="116">
        <v>0.1</v>
      </c>
      <c r="HU57" s="141">
        <f t="shared" ref="HU57" si="1693">+HX50*HT57</f>
        <v>61818815.712051809</v>
      </c>
      <c r="HV57" s="117">
        <v>5.0000000000000001E-3</v>
      </c>
      <c r="HW57" s="142">
        <v>4</v>
      </c>
      <c r="HX57" s="466">
        <f t="shared" si="1315"/>
        <v>231820.55892019431</v>
      </c>
      <c r="HY57" s="138"/>
      <c r="HZ57" s="927">
        <f t="shared" si="1465"/>
        <v>4.1666666666666669E-4</v>
      </c>
      <c r="IA57" s="928">
        <f t="shared" ref="IA57" si="1694">HZ57*(HW57+HU11)</f>
        <v>3.7500000000000003E-3</v>
      </c>
      <c r="IB57" s="929">
        <f t="shared" si="1318"/>
        <v>231820.55892019431</v>
      </c>
      <c r="IC57" s="933"/>
      <c r="ID57" s="139"/>
      <c r="IF57" s="1205"/>
      <c r="IG57" s="284" t="s">
        <v>1227</v>
      </c>
      <c r="IH57" s="116">
        <v>0.1</v>
      </c>
      <c r="II57" s="141">
        <f t="shared" ref="II57" si="1695">+IL50*IH57</f>
        <v>41581418.843207777</v>
      </c>
      <c r="IJ57" s="117">
        <v>5.0000000000000001E-3</v>
      </c>
      <c r="IK57" s="142">
        <v>4</v>
      </c>
      <c r="IL57" s="466">
        <f t="shared" si="1320"/>
        <v>155930.32066202917</v>
      </c>
      <c r="IM57" s="138"/>
      <c r="IN57" s="927">
        <f t="shared" si="1468"/>
        <v>4.1666666666666669E-4</v>
      </c>
      <c r="IO57" s="928">
        <f t="shared" ref="IO57" si="1696">IN57*(IK57+II11)</f>
        <v>3.7500000000000003E-3</v>
      </c>
      <c r="IP57" s="929">
        <f t="shared" si="1323"/>
        <v>155930.32066202917</v>
      </c>
      <c r="IQ57" s="933"/>
      <c r="IR57" s="139"/>
      <c r="IT57" s="1205"/>
      <c r="IU57" s="284" t="s">
        <v>1227</v>
      </c>
      <c r="IV57" s="116">
        <v>0.1</v>
      </c>
      <c r="IW57" s="141">
        <f t="shared" ref="IW57" si="1697">+IZ50*IV57</f>
        <v>258570555.79030967</v>
      </c>
      <c r="IX57" s="117">
        <v>5.0000000000000001E-3</v>
      </c>
      <c r="IY57" s="142">
        <v>4</v>
      </c>
      <c r="IZ57" s="466">
        <f t="shared" si="1325"/>
        <v>969639.58421366138</v>
      </c>
      <c r="JA57" s="138"/>
      <c r="JB57" s="927">
        <f t="shared" si="1471"/>
        <v>4.1666666666666669E-4</v>
      </c>
      <c r="JC57" s="928">
        <f t="shared" ref="JC57" si="1698">JB57*(IY57+IW11)</f>
        <v>3.7500000000000003E-3</v>
      </c>
      <c r="JD57" s="929">
        <f t="shared" si="1328"/>
        <v>969639.58421366138</v>
      </c>
      <c r="JE57" s="933"/>
      <c r="JF57" s="139"/>
      <c r="JH57" s="1205"/>
      <c r="JI57" s="284" t="s">
        <v>1227</v>
      </c>
      <c r="JJ57" s="116">
        <v>0.1</v>
      </c>
      <c r="JK57" s="141">
        <f>+JN50*JJ57</f>
        <v>300151974.63351744</v>
      </c>
      <c r="JL57" s="117">
        <v>5.0000000000000001E-3</v>
      </c>
      <c r="JM57" s="142">
        <v>4</v>
      </c>
      <c r="JN57" s="466">
        <f t="shared" si="1329"/>
        <v>1125569.9048756906</v>
      </c>
      <c r="JO57" s="138"/>
      <c r="JP57" s="927">
        <f t="shared" si="1473"/>
        <v>4.1666666666666669E-4</v>
      </c>
      <c r="JQ57" s="928">
        <f t="shared" ref="JQ57" si="1699">JP57*(JM57+JK11)</f>
        <v>3.7500000000000003E-3</v>
      </c>
      <c r="JR57" s="929">
        <f t="shared" si="1332"/>
        <v>1125569.9048756906</v>
      </c>
      <c r="JS57" s="933"/>
      <c r="JT57" s="139"/>
      <c r="JV57" s="1205"/>
      <c r="JW57" s="284" t="s">
        <v>1227</v>
      </c>
      <c r="JX57" s="116">
        <v>0.1</v>
      </c>
      <c r="JY57" s="141">
        <f t="shared" ref="JY57" si="1700">+KB50*JX57</f>
        <v>87118486.291139215</v>
      </c>
      <c r="JZ57" s="117">
        <v>5.0000000000000001E-3</v>
      </c>
      <c r="KA57" s="142">
        <v>4</v>
      </c>
      <c r="KB57" s="466">
        <f t="shared" si="1334"/>
        <v>326694.32359177206</v>
      </c>
      <c r="KC57" s="138"/>
      <c r="KD57" s="927">
        <f t="shared" si="1476"/>
        <v>4.1666666666666669E-4</v>
      </c>
      <c r="KE57" s="928">
        <f t="shared" ref="KE57" si="1701">KD57*(KA57+JY11)</f>
        <v>3.7500000000000003E-3</v>
      </c>
      <c r="KF57" s="929">
        <f t="shared" si="1337"/>
        <v>326694.32359177206</v>
      </c>
      <c r="KG57" s="933"/>
      <c r="KH57" s="139"/>
      <c r="KJ57" s="1205"/>
      <c r="KK57" s="284" t="s">
        <v>1227</v>
      </c>
      <c r="KL57" s="116">
        <v>0.1</v>
      </c>
      <c r="KM57" s="141">
        <f t="shared" ref="KM57" si="1702">+KP50*KL57</f>
        <v>52386390.7113415</v>
      </c>
      <c r="KN57" s="117">
        <v>5.0000000000000001E-3</v>
      </c>
      <c r="KO57" s="142">
        <v>4</v>
      </c>
      <c r="KP57" s="466">
        <f t="shared" si="1339"/>
        <v>196448.96516753064</v>
      </c>
      <c r="KQ57" s="138"/>
      <c r="KR57" s="927">
        <f t="shared" si="1479"/>
        <v>4.1666666666666669E-4</v>
      </c>
      <c r="KS57" s="928">
        <f t="shared" ref="KS57" si="1703">KR57*(KO57+KM11)</f>
        <v>3.7500000000000003E-3</v>
      </c>
      <c r="KT57" s="929">
        <f t="shared" si="1342"/>
        <v>196448.96516753064</v>
      </c>
      <c r="KU57" s="933"/>
      <c r="KV57" s="139"/>
      <c r="KX57" s="1205"/>
      <c r="KY57" s="284" t="s">
        <v>1227</v>
      </c>
      <c r="KZ57" s="116">
        <v>0.1</v>
      </c>
      <c r="LA57" s="141">
        <f t="shared" ref="LA57" si="1704">+LD50*KZ57</f>
        <v>42614846.548317187</v>
      </c>
      <c r="LB57" s="117">
        <v>5.0000000000000001E-3</v>
      </c>
      <c r="LC57" s="142">
        <v>4</v>
      </c>
      <c r="LD57" s="466">
        <f t="shared" si="1344"/>
        <v>159805.67455618945</v>
      </c>
      <c r="LE57" s="138"/>
      <c r="LF57" s="927">
        <f t="shared" si="1482"/>
        <v>4.1666666666666669E-4</v>
      </c>
      <c r="LG57" s="928">
        <f t="shared" ref="LG57" si="1705">LF57*(LC57+LA11)</f>
        <v>3.7500000000000003E-3</v>
      </c>
      <c r="LH57" s="929">
        <f t="shared" si="1347"/>
        <v>159805.67455618945</v>
      </c>
      <c r="LI57" s="933"/>
      <c r="LJ57" s="139"/>
      <c r="LL57" s="1205"/>
      <c r="LM57" s="284" t="s">
        <v>1227</v>
      </c>
      <c r="LN57" s="116">
        <v>0.1</v>
      </c>
      <c r="LO57" s="141">
        <f t="shared" ref="LO57" si="1706">+LR50*LN57</f>
        <v>111495265.25537093</v>
      </c>
      <c r="LP57" s="117">
        <v>5.0000000000000001E-3</v>
      </c>
      <c r="LQ57" s="142">
        <v>4</v>
      </c>
      <c r="LR57" s="466">
        <f t="shared" si="1349"/>
        <v>418107.24470764102</v>
      </c>
      <c r="LS57" s="138"/>
      <c r="LT57" s="927">
        <f t="shared" si="1485"/>
        <v>4.1666666666666669E-4</v>
      </c>
      <c r="LU57" s="928">
        <f t="shared" ref="LU57" si="1707">LT57*(LQ57+LO11)</f>
        <v>3.7500000000000003E-3</v>
      </c>
      <c r="LV57" s="929">
        <f t="shared" si="1352"/>
        <v>418107.24470764102</v>
      </c>
      <c r="LW57" s="933"/>
      <c r="LX57" s="139"/>
      <c r="LZ57" s="1205"/>
      <c r="MA57" s="284" t="s">
        <v>1227</v>
      </c>
      <c r="MB57" s="116">
        <v>0.1</v>
      </c>
      <c r="MC57" s="141">
        <f t="shared" ref="MC57" si="1708">+MF50*MB57</f>
        <v>110596414.6588188</v>
      </c>
      <c r="MD57" s="117">
        <v>5.0000000000000001E-3</v>
      </c>
      <c r="ME57" s="142">
        <v>4</v>
      </c>
      <c r="MF57" s="466">
        <f t="shared" si="1354"/>
        <v>414736.55497057049</v>
      </c>
      <c r="MG57" s="138"/>
      <c r="MH57" s="927">
        <f t="shared" si="1488"/>
        <v>4.1666666666666669E-4</v>
      </c>
      <c r="MI57" s="928">
        <f t="shared" ref="MI57" si="1709">MH57*(ME57+MC11)</f>
        <v>3.7500000000000003E-3</v>
      </c>
      <c r="MJ57" s="929">
        <f t="shared" si="1357"/>
        <v>414736.55497057049</v>
      </c>
      <c r="MK57" s="933"/>
      <c r="ML57" s="139"/>
      <c r="MN57" s="1205"/>
      <c r="MO57" s="284" t="s">
        <v>1227</v>
      </c>
      <c r="MP57" s="116">
        <v>0.1</v>
      </c>
      <c r="MQ57" s="141">
        <f t="shared" ref="MQ57" si="1710">+MT50*MP57</f>
        <v>113170259.11048518</v>
      </c>
      <c r="MR57" s="117">
        <v>5.0000000000000001E-3</v>
      </c>
      <c r="MS57" s="142">
        <v>4</v>
      </c>
      <c r="MT57" s="466">
        <f t="shared" si="1359"/>
        <v>424388.47166431946</v>
      </c>
      <c r="MU57" s="138"/>
      <c r="MV57" s="927">
        <f t="shared" si="1491"/>
        <v>4.1666666666666669E-4</v>
      </c>
      <c r="MW57" s="928">
        <f t="shared" ref="MW57" si="1711">MV57*(MS57+MQ11)</f>
        <v>3.7500000000000003E-3</v>
      </c>
      <c r="MX57" s="929">
        <f t="shared" si="1362"/>
        <v>424388.47166431946</v>
      </c>
      <c r="MY57" s="933"/>
      <c r="MZ57" s="139"/>
      <c r="NB57" s="1205"/>
      <c r="NC57" s="284" t="s">
        <v>1227</v>
      </c>
      <c r="ND57" s="116">
        <v>0.1</v>
      </c>
      <c r="NE57" s="141">
        <f t="shared" ref="NE57" si="1712">+NH50*ND57</f>
        <v>216585201.10436508</v>
      </c>
      <c r="NF57" s="117">
        <v>5.0000000000000001E-3</v>
      </c>
      <c r="NG57" s="142">
        <v>4</v>
      </c>
      <c r="NH57" s="466">
        <f t="shared" si="1364"/>
        <v>812194.50414136914</v>
      </c>
      <c r="NI57" s="138"/>
      <c r="NJ57" s="927">
        <f t="shared" si="1494"/>
        <v>4.1666666666666669E-4</v>
      </c>
      <c r="NK57" s="928">
        <f t="shared" ref="NK57" si="1713">NJ57*(NG57+NE11)</f>
        <v>3.7500000000000003E-3</v>
      </c>
      <c r="NL57" s="929">
        <f t="shared" si="1367"/>
        <v>812194.50414136914</v>
      </c>
      <c r="NM57" s="933"/>
      <c r="NN57" s="139"/>
      <c r="NP57" s="1205"/>
      <c r="NQ57" s="284" t="s">
        <v>1227</v>
      </c>
      <c r="NR57" s="116">
        <v>0.1</v>
      </c>
      <c r="NS57" s="141">
        <f t="shared" ref="NS57" si="1714">+NV50*NR57</f>
        <v>34477853.01628124</v>
      </c>
      <c r="NT57" s="117">
        <v>5.0000000000000001E-3</v>
      </c>
      <c r="NU57" s="142">
        <v>4</v>
      </c>
      <c r="NV57" s="466">
        <f t="shared" si="1369"/>
        <v>129291.94881105465</v>
      </c>
      <c r="NW57" s="138"/>
      <c r="NX57" s="927">
        <f t="shared" si="1497"/>
        <v>4.1666666666666669E-4</v>
      </c>
      <c r="NY57" s="928">
        <f t="shared" ref="NY57" si="1715">NX57*(NU57+NS11)</f>
        <v>3.7500000000000003E-3</v>
      </c>
      <c r="NZ57" s="929">
        <f t="shared" si="1372"/>
        <v>129291.94881105465</v>
      </c>
      <c r="OA57" s="933"/>
      <c r="OB57" s="139"/>
      <c r="OD57" s="1205"/>
      <c r="OE57" s="284" t="s">
        <v>1227</v>
      </c>
      <c r="OF57" s="116">
        <v>0.1</v>
      </c>
      <c r="OG57" s="141">
        <f t="shared" ref="OG57" si="1716">+OJ50*OF57</f>
        <v>44934315.027764909</v>
      </c>
      <c r="OH57" s="117">
        <v>5.0000000000000001E-3</v>
      </c>
      <c r="OI57" s="142">
        <v>4</v>
      </c>
      <c r="OJ57" s="466">
        <f t="shared" si="1374"/>
        <v>168503.68135411842</v>
      </c>
      <c r="OK57" s="138"/>
      <c r="OL57" s="927">
        <f t="shared" si="1500"/>
        <v>4.1666666666666669E-4</v>
      </c>
      <c r="OM57" s="928">
        <f t="shared" ref="OM57" si="1717">OL57*(OI57+OG11)</f>
        <v>3.7500000000000003E-3</v>
      </c>
      <c r="ON57" s="929">
        <f t="shared" si="1377"/>
        <v>168503.68135411842</v>
      </c>
      <c r="OO57" s="933"/>
      <c r="OP57" s="139"/>
      <c r="OR57" s="1205"/>
      <c r="OS57" s="284" t="s">
        <v>1227</v>
      </c>
      <c r="OT57" s="116">
        <v>0.1</v>
      </c>
      <c r="OU57" s="141">
        <f t="shared" ref="OU57" si="1718">+OX50*OT57</f>
        <v>56769365.818857148</v>
      </c>
      <c r="OV57" s="117">
        <v>5.0000000000000001E-3</v>
      </c>
      <c r="OW57" s="142">
        <v>4</v>
      </c>
      <c r="OX57" s="466">
        <f t="shared" si="1379"/>
        <v>212885.12182071432</v>
      </c>
      <c r="OY57" s="138"/>
      <c r="OZ57" s="927">
        <f t="shared" si="1503"/>
        <v>4.1666666666666669E-4</v>
      </c>
      <c r="PA57" s="928">
        <f t="shared" ref="PA57" si="1719">OZ57*(OW57+OU11)</f>
        <v>3.7500000000000003E-3</v>
      </c>
      <c r="PB57" s="929">
        <f t="shared" si="1382"/>
        <v>212885.12182071432</v>
      </c>
      <c r="PC57" s="933"/>
      <c r="PD57" s="139"/>
      <c r="PF57" s="1205"/>
      <c r="PG57" s="284" t="s">
        <v>1227</v>
      </c>
      <c r="PH57" s="116">
        <v>0.1</v>
      </c>
      <c r="PI57" s="141">
        <f t="shared" ref="PI57" si="1720">+PL50*PH57</f>
        <v>14436224.268843198</v>
      </c>
      <c r="PJ57" s="117">
        <v>5.0000000000000001E-3</v>
      </c>
      <c r="PK57" s="142">
        <v>4</v>
      </c>
      <c r="PL57" s="466">
        <f t="shared" si="1384"/>
        <v>54135.841008161995</v>
      </c>
      <c r="PM57" s="138"/>
      <c r="PN57" s="927">
        <f t="shared" si="1506"/>
        <v>4.1666666666666669E-4</v>
      </c>
      <c r="PO57" s="928">
        <f t="shared" ref="PO57" si="1721">PN57*(PK57+PI11)</f>
        <v>3.7500000000000003E-3</v>
      </c>
      <c r="PP57" s="929">
        <f t="shared" si="1387"/>
        <v>54135.841008161995</v>
      </c>
      <c r="PQ57" s="933"/>
      <c r="PR57" s="139"/>
      <c r="PT57" s="1205"/>
      <c r="PU57" s="284" t="s">
        <v>1227</v>
      </c>
      <c r="PV57" s="116">
        <v>0.1</v>
      </c>
      <c r="PW57" s="141">
        <f t="shared" ref="PW57" si="1722">+PZ50*PV57</f>
        <v>22278600.735231996</v>
      </c>
      <c r="PX57" s="117">
        <v>5.0000000000000001E-3</v>
      </c>
      <c r="PY57" s="142">
        <v>4</v>
      </c>
      <c r="PZ57" s="466">
        <f t="shared" si="1389"/>
        <v>83544.75275711999</v>
      </c>
      <c r="QA57" s="138"/>
      <c r="QB57" s="927">
        <f t="shared" si="1509"/>
        <v>4.1666666666666669E-4</v>
      </c>
      <c r="QC57" s="928">
        <f t="shared" ref="QC57" si="1723">QB57*(PY57+PW11)</f>
        <v>3.7500000000000003E-3</v>
      </c>
      <c r="QD57" s="929">
        <f t="shared" si="1392"/>
        <v>83544.75275711999</v>
      </c>
      <c r="QE57" s="933"/>
      <c r="QF57" s="139"/>
      <c r="QH57" s="1205"/>
      <c r="QI57" s="284" t="s">
        <v>1227</v>
      </c>
      <c r="QJ57" s="116">
        <v>0.1</v>
      </c>
      <c r="QK57" s="141">
        <f t="shared" ref="QK57" si="1724">+QN50*QJ57</f>
        <v>8336598.1283185799</v>
      </c>
      <c r="QL57" s="117">
        <v>5.0000000000000001E-3</v>
      </c>
      <c r="QM57" s="142">
        <v>4</v>
      </c>
      <c r="QN57" s="466">
        <f t="shared" si="1394"/>
        <v>31262.242981194679</v>
      </c>
      <c r="QO57" s="138"/>
      <c r="QP57" s="927">
        <f t="shared" si="1512"/>
        <v>4.1666666666666669E-4</v>
      </c>
      <c r="QQ57" s="928">
        <f t="shared" ref="QQ57" si="1725">QP57*(QM57+QK11)</f>
        <v>3.7500000000000003E-3</v>
      </c>
      <c r="QR57" s="929">
        <f t="shared" si="1397"/>
        <v>31262.242981194679</v>
      </c>
      <c r="QS57" s="933"/>
      <c r="QT57" s="139"/>
      <c r="QV57" s="1205"/>
      <c r="QW57" s="284" t="s">
        <v>1227</v>
      </c>
      <c r="QX57" s="116">
        <v>0.1</v>
      </c>
      <c r="QY57" s="141">
        <f t="shared" ref="QY57" si="1726">+RB50*QX57</f>
        <v>18793100.083503641</v>
      </c>
      <c r="QZ57" s="117">
        <v>5.0000000000000001E-3</v>
      </c>
      <c r="RA57" s="142">
        <v>4</v>
      </c>
      <c r="RB57" s="466">
        <f t="shared" si="1399"/>
        <v>70474.125313138662</v>
      </c>
      <c r="RC57" s="138"/>
      <c r="RD57" s="927">
        <f t="shared" si="1515"/>
        <v>4.1666666666666669E-4</v>
      </c>
      <c r="RE57" s="928">
        <f t="shared" ref="RE57" si="1727">RD57*(RA57+QY11)</f>
        <v>3.7500000000000003E-3</v>
      </c>
      <c r="RF57" s="929">
        <f t="shared" si="1402"/>
        <v>70474.125313138662</v>
      </c>
      <c r="RG57" s="933"/>
      <c r="RH57" s="139"/>
      <c r="RJ57" s="1205"/>
      <c r="RK57" s="284" t="s">
        <v>1227</v>
      </c>
      <c r="RL57" s="116">
        <v>0.1</v>
      </c>
      <c r="RM57" s="141">
        <f t="shared" ref="RM57" si="1728">+RP50*RL57</f>
        <v>8358994.9091347456</v>
      </c>
      <c r="RN57" s="117">
        <v>5.0000000000000001E-3</v>
      </c>
      <c r="RO57" s="142">
        <v>4</v>
      </c>
      <c r="RP57" s="466">
        <f t="shared" si="1404"/>
        <v>31346.230909255297</v>
      </c>
      <c r="RQ57" s="138"/>
      <c r="RR57" s="927">
        <f t="shared" si="1518"/>
        <v>4.1666666666666669E-4</v>
      </c>
      <c r="RS57" s="928">
        <f t="shared" ref="RS57" si="1729">RR57*(RO57+RM11)</f>
        <v>3.7500000000000003E-3</v>
      </c>
      <c r="RT57" s="929">
        <f t="shared" si="1407"/>
        <v>31346.230909255297</v>
      </c>
      <c r="RU57" s="933"/>
      <c r="RV57" s="139"/>
      <c r="RX57" s="1205"/>
      <c r="RY57" s="284" t="s">
        <v>1227</v>
      </c>
      <c r="RZ57" s="116">
        <v>0.1</v>
      </c>
      <c r="SA57" s="141">
        <f t="shared" ref="SA57" si="1730">+SD50*RZ57</f>
        <v>12693473.942979023</v>
      </c>
      <c r="SB57" s="117">
        <v>5.0000000000000001E-3</v>
      </c>
      <c r="SC57" s="142">
        <v>4</v>
      </c>
      <c r="SD57" s="466">
        <f t="shared" si="1409"/>
        <v>47600.527286171338</v>
      </c>
      <c r="SE57" s="138"/>
      <c r="SF57" s="927">
        <f t="shared" si="1521"/>
        <v>4.1666666666666669E-4</v>
      </c>
      <c r="SG57" s="928">
        <f t="shared" ref="SG57" si="1731">SF57*(SC57+SA11)</f>
        <v>3.7500000000000003E-3</v>
      </c>
      <c r="SH57" s="929">
        <f t="shared" si="1412"/>
        <v>47600.527286171338</v>
      </c>
      <c r="SI57" s="933"/>
      <c r="SJ57" s="139"/>
      <c r="SL57" s="1205"/>
      <c r="SM57" s="284" t="s">
        <v>1227</v>
      </c>
      <c r="SN57" s="116">
        <v>0.1</v>
      </c>
      <c r="SO57" s="141">
        <f t="shared" ref="SO57" si="1732">+SR50*SN57</f>
        <v>0</v>
      </c>
      <c r="SP57" s="117">
        <v>5.0000000000000001E-3</v>
      </c>
      <c r="SQ57" s="142">
        <v>4</v>
      </c>
      <c r="SR57" s="466">
        <f t="shared" si="1414"/>
        <v>0</v>
      </c>
      <c r="SS57" s="138"/>
      <c r="ST57" s="927">
        <f t="shared" si="1524"/>
        <v>4.1666666666666669E-4</v>
      </c>
      <c r="SU57" s="928">
        <f t="shared" ref="SU57" si="1733">ST57*(SQ57+SO11)</f>
        <v>3.7500000000000003E-3</v>
      </c>
      <c r="SV57" s="929">
        <f t="shared" si="1417"/>
        <v>0</v>
      </c>
      <c r="SW57" s="933"/>
      <c r="SX57" s="139"/>
      <c r="SZ57" s="1205"/>
      <c r="TA57" s="284" t="s">
        <v>1227</v>
      </c>
      <c r="TB57" s="116">
        <v>0.1</v>
      </c>
      <c r="TC57" s="141">
        <f t="shared" ref="TC57" si="1734">+TF50*TB57</f>
        <v>3225481766.4247675</v>
      </c>
      <c r="TD57" s="117">
        <v>5.0000000000000001E-3</v>
      </c>
      <c r="TE57" s="142">
        <v>4</v>
      </c>
      <c r="TF57" s="466">
        <f t="shared" si="1419"/>
        <v>12095556.624092879</v>
      </c>
      <c r="TG57" s="138"/>
      <c r="TH57" s="927">
        <f t="shared" si="1527"/>
        <v>4.1666666666666669E-4</v>
      </c>
      <c r="TI57" s="928">
        <f t="shared" ref="TI57" si="1735">TH57*(TE57+TC11)</f>
        <v>3.7500000000000003E-3</v>
      </c>
      <c r="TJ57" s="929">
        <f t="shared" si="1422"/>
        <v>12095556.624092879</v>
      </c>
      <c r="TK57" s="933"/>
      <c r="TL57" s="139"/>
    </row>
    <row r="58" spans="2:532" thickBot="1">
      <c r="B58" s="118"/>
      <c r="C58" s="118"/>
      <c r="D58" s="118"/>
      <c r="E58" s="118"/>
      <c r="F58" s="143" t="s">
        <v>1231</v>
      </c>
      <c r="G58" s="118"/>
      <c r="H58" s="118"/>
      <c r="I58" s="144"/>
      <c r="P58" s="118"/>
      <c r="Q58" s="118"/>
      <c r="R58" s="118"/>
      <c r="S58" s="118"/>
      <c r="T58" s="143" t="s">
        <v>1231</v>
      </c>
      <c r="U58" s="118"/>
      <c r="V58" s="118"/>
      <c r="W58" s="144"/>
      <c r="AD58" s="118"/>
      <c r="AE58" s="118"/>
      <c r="AF58" s="118"/>
      <c r="AG58" s="118"/>
      <c r="AH58" s="143" t="s">
        <v>1231</v>
      </c>
      <c r="AI58" s="118"/>
      <c r="AJ58" s="118"/>
      <c r="AK58" s="144"/>
      <c r="AR58" s="118"/>
      <c r="AS58" s="118"/>
      <c r="AT58" s="118"/>
      <c r="AU58" s="118"/>
      <c r="AV58" s="143" t="s">
        <v>1231</v>
      </c>
      <c r="AW58" s="118"/>
      <c r="AX58" s="118"/>
      <c r="AY58" s="144"/>
      <c r="BF58" s="118"/>
      <c r="BG58" s="118"/>
      <c r="BH58" s="118"/>
      <c r="BI58" s="118"/>
      <c r="BJ58" s="143" t="s">
        <v>1231</v>
      </c>
      <c r="BK58" s="118"/>
      <c r="BL58" s="118"/>
      <c r="BM58" s="144"/>
      <c r="BT58" s="118"/>
      <c r="BU58" s="118"/>
      <c r="BV58" s="118"/>
      <c r="BW58" s="118"/>
      <c r="BX58" s="143" t="s">
        <v>1231</v>
      </c>
      <c r="BY58" s="118"/>
      <c r="BZ58" s="118"/>
      <c r="CA58" s="144"/>
      <c r="CH58" s="118"/>
      <c r="CI58" s="118"/>
      <c r="CJ58" s="118"/>
      <c r="CK58" s="118"/>
      <c r="CL58" s="143" t="s">
        <v>1231</v>
      </c>
      <c r="CM58" s="118"/>
      <c r="CN58" s="118"/>
      <c r="CO58" s="144"/>
      <c r="CV58" s="118"/>
      <c r="CW58" s="118"/>
      <c r="CX58" s="118"/>
      <c r="CY58" s="118"/>
      <c r="CZ58" s="143" t="s">
        <v>1231</v>
      </c>
      <c r="DA58" s="118"/>
      <c r="DB58" s="118"/>
      <c r="DC58" s="144"/>
      <c r="DJ58" s="118"/>
      <c r="DK58" s="118"/>
      <c r="DL58" s="118"/>
      <c r="DM58" s="118"/>
      <c r="DN58" s="143" t="s">
        <v>1231</v>
      </c>
      <c r="DO58" s="118"/>
      <c r="DP58" s="118"/>
      <c r="DQ58" s="144"/>
      <c r="DX58" s="118"/>
      <c r="DY58" s="118"/>
      <c r="DZ58" s="118"/>
      <c r="EA58" s="118"/>
      <c r="EB58" s="143" t="s">
        <v>1231</v>
      </c>
      <c r="EC58" s="118"/>
      <c r="ED58" s="118"/>
      <c r="EE58" s="144"/>
      <c r="EL58" s="118"/>
      <c r="EM58" s="118"/>
      <c r="EN58" s="118"/>
      <c r="EO58" s="118"/>
      <c r="EP58" s="143" t="s">
        <v>1231</v>
      </c>
      <c r="EQ58" s="118"/>
      <c r="ER58" s="118"/>
      <c r="ES58" s="144"/>
      <c r="EZ58" s="118"/>
      <c r="FA58" s="118"/>
      <c r="FB58" s="118"/>
      <c r="FC58" s="118"/>
      <c r="FD58" s="143" t="s">
        <v>1231</v>
      </c>
      <c r="FE58" s="118"/>
      <c r="FF58" s="118"/>
      <c r="FG58" s="144"/>
      <c r="FN58" s="118"/>
      <c r="FO58" s="118"/>
      <c r="FP58" s="118"/>
      <c r="FQ58" s="118"/>
      <c r="FR58" s="143" t="s">
        <v>1231</v>
      </c>
      <c r="FS58" s="118"/>
      <c r="FT58" s="118"/>
      <c r="FU58" s="144"/>
      <c r="GB58" s="118"/>
      <c r="GC58" s="118"/>
      <c r="GD58" s="118"/>
      <c r="GE58" s="118"/>
      <c r="GF58" s="143" t="s">
        <v>1231</v>
      </c>
      <c r="GG58" s="118"/>
      <c r="GH58" s="118"/>
      <c r="GI58" s="144"/>
      <c r="GP58" s="118"/>
      <c r="GQ58" s="118"/>
      <c r="GR58" s="118"/>
      <c r="GS58" s="118"/>
      <c r="GT58" s="143" t="s">
        <v>1231</v>
      </c>
      <c r="GU58" s="118"/>
      <c r="GV58" s="118"/>
      <c r="GW58" s="144"/>
      <c r="HD58" s="118"/>
      <c r="HE58" s="118"/>
      <c r="HF58" s="118"/>
      <c r="HG58" s="118"/>
      <c r="HH58" s="143" t="s">
        <v>1231</v>
      </c>
      <c r="HI58" s="118"/>
      <c r="HJ58" s="118"/>
      <c r="HK58" s="144"/>
      <c r="HR58" s="118"/>
      <c r="HS58" s="118"/>
      <c r="HT58" s="118"/>
      <c r="HU58" s="118"/>
      <c r="HV58" s="143" t="s">
        <v>1231</v>
      </c>
      <c r="HW58" s="118"/>
      <c r="HX58" s="118"/>
      <c r="HY58" s="144"/>
      <c r="IF58" s="118"/>
      <c r="IG58" s="118"/>
      <c r="IH58" s="118"/>
      <c r="II58" s="118"/>
      <c r="IJ58" s="143" t="s">
        <v>1231</v>
      </c>
      <c r="IK58" s="118"/>
      <c r="IL58" s="118"/>
      <c r="IM58" s="144"/>
      <c r="IT58" s="118"/>
      <c r="IU58" s="118"/>
      <c r="IV58" s="118"/>
      <c r="IW58" s="118"/>
      <c r="IX58" s="143" t="s">
        <v>1231</v>
      </c>
      <c r="IY58" s="118"/>
      <c r="IZ58" s="118"/>
      <c r="JA58" s="144"/>
      <c r="JH58" s="118"/>
      <c r="JI58" s="118"/>
      <c r="JJ58" s="118"/>
      <c r="JK58" s="118"/>
      <c r="JL58" s="143" t="s">
        <v>1231</v>
      </c>
      <c r="JM58" s="118"/>
      <c r="JN58" s="118"/>
      <c r="JO58" s="144"/>
      <c r="JV58" s="118"/>
      <c r="JW58" s="118"/>
      <c r="JX58" s="118"/>
      <c r="JY58" s="118"/>
      <c r="JZ58" s="143" t="s">
        <v>1231</v>
      </c>
      <c r="KA58" s="118"/>
      <c r="KB58" s="118"/>
      <c r="KC58" s="144"/>
      <c r="KJ58" s="118"/>
      <c r="KK58" s="118"/>
      <c r="KL58" s="118"/>
      <c r="KM58" s="118"/>
      <c r="KN58" s="143" t="s">
        <v>1231</v>
      </c>
      <c r="KO58" s="118"/>
      <c r="KP58" s="118"/>
      <c r="KQ58" s="144"/>
      <c r="KX58" s="118"/>
      <c r="KY58" s="118"/>
      <c r="KZ58" s="118"/>
      <c r="LA58" s="118"/>
      <c r="LB58" s="143" t="s">
        <v>1231</v>
      </c>
      <c r="LC58" s="118"/>
      <c r="LD58" s="118"/>
      <c r="LE58" s="144"/>
      <c r="LL58" s="118"/>
      <c r="LM58" s="118"/>
      <c r="LN58" s="118"/>
      <c r="LO58" s="118"/>
      <c r="LP58" s="143" t="s">
        <v>1231</v>
      </c>
      <c r="LQ58" s="118"/>
      <c r="LR58" s="118"/>
      <c r="LS58" s="144"/>
      <c r="LZ58" s="118"/>
      <c r="MA58" s="118"/>
      <c r="MB58" s="118"/>
      <c r="MC58" s="118"/>
      <c r="MD58" s="143" t="s">
        <v>1231</v>
      </c>
      <c r="ME58" s="118"/>
      <c r="MF58" s="118"/>
      <c r="MG58" s="144"/>
      <c r="MN58" s="118"/>
      <c r="MO58" s="118"/>
      <c r="MP58" s="118"/>
      <c r="MQ58" s="118"/>
      <c r="MR58" s="143" t="s">
        <v>1231</v>
      </c>
      <c r="MS58" s="118"/>
      <c r="MT58" s="118"/>
      <c r="MU58" s="144"/>
      <c r="NB58" s="118"/>
      <c r="NC58" s="118"/>
      <c r="ND58" s="118"/>
      <c r="NE58" s="118"/>
      <c r="NF58" s="143" t="s">
        <v>1231</v>
      </c>
      <c r="NG58" s="118"/>
      <c r="NH58" s="118"/>
      <c r="NI58" s="144"/>
      <c r="NP58" s="118"/>
      <c r="NQ58" s="118"/>
      <c r="NR58" s="118"/>
      <c r="NS58" s="118"/>
      <c r="NT58" s="143" t="s">
        <v>1231</v>
      </c>
      <c r="NU58" s="118"/>
      <c r="NV58" s="118"/>
      <c r="NW58" s="144"/>
      <c r="OD58" s="118"/>
      <c r="OE58" s="118"/>
      <c r="OF58" s="118"/>
      <c r="OG58" s="118"/>
      <c r="OH58" s="143" t="s">
        <v>1231</v>
      </c>
      <c r="OI58" s="118"/>
      <c r="OJ58" s="118"/>
      <c r="OK58" s="144"/>
      <c r="OR58" s="118"/>
      <c r="OS58" s="118"/>
      <c r="OT58" s="118"/>
      <c r="OU58" s="118"/>
      <c r="OV58" s="143" t="s">
        <v>1231</v>
      </c>
      <c r="OW58" s="118"/>
      <c r="OX58" s="118"/>
      <c r="OY58" s="144"/>
      <c r="PF58" s="118"/>
      <c r="PG58" s="118"/>
      <c r="PH58" s="118"/>
      <c r="PI58" s="118"/>
      <c r="PJ58" s="143" t="s">
        <v>1231</v>
      </c>
      <c r="PK58" s="118"/>
      <c r="PL58" s="118"/>
      <c r="PM58" s="144"/>
      <c r="PT58" s="118"/>
      <c r="PU58" s="118"/>
      <c r="PV58" s="118"/>
      <c r="PW58" s="118"/>
      <c r="PX58" s="143" t="s">
        <v>1231</v>
      </c>
      <c r="PY58" s="118"/>
      <c r="PZ58" s="118"/>
      <c r="QA58" s="144"/>
      <c r="QH58" s="118"/>
      <c r="QI58" s="118"/>
      <c r="QJ58" s="118"/>
      <c r="QK58" s="118"/>
      <c r="QL58" s="143" t="s">
        <v>1231</v>
      </c>
      <c r="QM58" s="118"/>
      <c r="QN58" s="118"/>
      <c r="QO58" s="144"/>
      <c r="QV58" s="118"/>
      <c r="QW58" s="118"/>
      <c r="QX58" s="118"/>
      <c r="QY58" s="118"/>
      <c r="QZ58" s="143" t="s">
        <v>1231</v>
      </c>
      <c r="RA58" s="118"/>
      <c r="RB58" s="118"/>
      <c r="RC58" s="144"/>
      <c r="RJ58" s="118"/>
      <c r="RK58" s="118"/>
      <c r="RL58" s="118"/>
      <c r="RM58" s="118"/>
      <c r="RN58" s="143" t="s">
        <v>1231</v>
      </c>
      <c r="RO58" s="118"/>
      <c r="RP58" s="118"/>
      <c r="RQ58" s="144"/>
      <c r="RX58" s="118"/>
      <c r="RY58" s="118"/>
      <c r="RZ58" s="118"/>
      <c r="SA58" s="118"/>
      <c r="SB58" s="143" t="s">
        <v>1231</v>
      </c>
      <c r="SC58" s="118"/>
      <c r="SD58" s="118"/>
      <c r="SE58" s="144"/>
      <c r="SL58" s="118"/>
      <c r="SM58" s="118"/>
      <c r="SN58" s="118"/>
      <c r="SO58" s="118"/>
      <c r="SP58" s="143" t="s">
        <v>1231</v>
      </c>
      <c r="SQ58" s="118"/>
      <c r="SR58" s="118"/>
      <c r="SS58" s="144"/>
      <c r="SZ58" s="118"/>
      <c r="TA58" s="118"/>
      <c r="TB58" s="118"/>
      <c r="TC58" s="118"/>
      <c r="TD58" s="143" t="s">
        <v>1231</v>
      </c>
      <c r="TE58" s="118"/>
      <c r="TF58" s="118"/>
      <c r="TG58" s="144"/>
    </row>
    <row r="59" spans="2:532" thickBot="1">
      <c r="B59" s="948" t="s">
        <v>1228</v>
      </c>
      <c r="C59" s="129"/>
      <c r="D59" s="129"/>
      <c r="E59" s="129"/>
      <c r="F59" s="129"/>
      <c r="G59" s="941">
        <f>+H59/H50</f>
        <v>2.7000000000000001E-3</v>
      </c>
      <c r="H59" s="434">
        <f>+SUM(H53:H57)</f>
        <v>7829214.0761422347</v>
      </c>
      <c r="I59" s="131"/>
      <c r="M59" s="934">
        <f>+H59/H65</f>
        <v>2.6820016235049827E-3</v>
      </c>
      <c r="P59" s="948" t="s">
        <v>1228</v>
      </c>
      <c r="Q59" s="129"/>
      <c r="R59" s="129"/>
      <c r="S59" s="129"/>
      <c r="T59" s="129"/>
      <c r="U59" s="1126">
        <f t="shared" ref="U59" si="1736">+V59/V50</f>
        <v>2.7000000000000001E-3</v>
      </c>
      <c r="V59" s="434">
        <f t="shared" ref="V59" si="1737">+SUM(V53:V57)</f>
        <v>1840843.7989835336</v>
      </c>
      <c r="W59" s="131"/>
      <c r="AA59" s="934">
        <f t="shared" ref="AA59" si="1738">+V59/V65</f>
        <v>2.6820016235049827E-3</v>
      </c>
      <c r="AD59" s="948" t="s">
        <v>1228</v>
      </c>
      <c r="AE59" s="129"/>
      <c r="AF59" s="129"/>
      <c r="AG59" s="129"/>
      <c r="AH59" s="129"/>
      <c r="AI59" s="1126">
        <f t="shared" ref="AI59" si="1739">+AJ59/AJ50</f>
        <v>2.700000000000001E-3</v>
      </c>
      <c r="AJ59" s="434">
        <f t="shared" ref="AJ59" si="1740">+SUM(AJ53:AJ57)</f>
        <v>9670057.8751257695</v>
      </c>
      <c r="AK59" s="131"/>
      <c r="AO59" s="934">
        <f t="shared" ref="AO59" si="1741">+AJ59/AJ65</f>
        <v>2.6820016235049836E-3</v>
      </c>
      <c r="AR59" s="948" t="s">
        <v>1228</v>
      </c>
      <c r="AS59" s="129"/>
      <c r="AT59" s="129"/>
      <c r="AU59" s="129"/>
      <c r="AV59" s="129"/>
      <c r="AW59" s="1126">
        <f t="shared" ref="AW59" si="1742">+AX59/AX50</f>
        <v>2.7000000000000006E-3</v>
      </c>
      <c r="AX59" s="434">
        <f t="shared" ref="AX59" si="1743">+SUM(AX53:AX57)</f>
        <v>2791951.4669328467</v>
      </c>
      <c r="AY59" s="131"/>
      <c r="BC59" s="934">
        <f t="shared" ref="BC59" si="1744">+AX59/AX65</f>
        <v>2.6820016235049832E-3</v>
      </c>
      <c r="BF59" s="948" t="s">
        <v>1228</v>
      </c>
      <c r="BG59" s="129"/>
      <c r="BH59" s="129"/>
      <c r="BI59" s="129"/>
      <c r="BJ59" s="129"/>
      <c r="BK59" s="1126">
        <f t="shared" ref="BK59" si="1745">+BL59/BL50</f>
        <v>2.7000000000000001E-3</v>
      </c>
      <c r="BL59" s="434">
        <f t="shared" ref="BL59" si="1746">+SUM(BL53:BL57)</f>
        <v>4005399.7722782297</v>
      </c>
      <c r="BM59" s="131"/>
      <c r="BQ59" s="934">
        <f t="shared" ref="BQ59" si="1747">+BL59/BL65</f>
        <v>2.6820016235049827E-3</v>
      </c>
      <c r="BT59" s="948" t="s">
        <v>1228</v>
      </c>
      <c r="BU59" s="129"/>
      <c r="BV59" s="129"/>
      <c r="BW59" s="129"/>
      <c r="BX59" s="129"/>
      <c r="BY59" s="1126">
        <f t="shared" ref="BY59" si="1748">+BZ59/BZ50</f>
        <v>2.6999999999999997E-3</v>
      </c>
      <c r="BZ59" s="434">
        <f t="shared" ref="BZ59:ED59" si="1749">+SUM(BZ53:BZ57)</f>
        <v>3426691.7552069807</v>
      </c>
      <c r="CA59" s="131"/>
      <c r="CE59" s="934">
        <f t="shared" ref="CE59" si="1750">+BZ59/BZ65</f>
        <v>2.6820016235049823E-3</v>
      </c>
      <c r="CH59" s="948" t="s">
        <v>1228</v>
      </c>
      <c r="CI59" s="129"/>
      <c r="CJ59" s="129"/>
      <c r="CK59" s="129"/>
      <c r="CL59" s="129"/>
      <c r="CM59" s="1126">
        <f t="shared" ref="CM59" si="1751">+CN59/CN50</f>
        <v>2.6999999999999997E-3</v>
      </c>
      <c r="CN59" s="434">
        <f t="shared" si="1749"/>
        <v>3425260.5124916639</v>
      </c>
      <c r="CO59" s="131"/>
      <c r="CS59" s="934">
        <f t="shared" ref="CS59" si="1752">+CN59/CN65</f>
        <v>2.6820016235049823E-3</v>
      </c>
      <c r="CV59" s="948" t="s">
        <v>1228</v>
      </c>
      <c r="CW59" s="129"/>
      <c r="CX59" s="129"/>
      <c r="CY59" s="129"/>
      <c r="CZ59" s="129"/>
      <c r="DA59" s="1126">
        <f t="shared" ref="DA59" si="1753">+DB59/DB50</f>
        <v>2.7000000000000006E-3</v>
      </c>
      <c r="DB59" s="434">
        <f t="shared" si="1749"/>
        <v>1878754.9091537416</v>
      </c>
      <c r="DC59" s="131"/>
      <c r="DG59" s="934">
        <f t="shared" ref="DG59" si="1754">+DB59/DB65</f>
        <v>2.6820016235049832E-3</v>
      </c>
      <c r="DJ59" s="948" t="s">
        <v>1228</v>
      </c>
      <c r="DK59" s="129"/>
      <c r="DL59" s="129"/>
      <c r="DM59" s="129"/>
      <c r="DN59" s="129"/>
      <c r="DO59" s="1126">
        <f t="shared" ref="DO59" si="1755">+DP59/DP50</f>
        <v>2.7000000000000001E-3</v>
      </c>
      <c r="DP59" s="434">
        <f t="shared" si="1749"/>
        <v>3819488.9814495477</v>
      </c>
      <c r="DQ59" s="131"/>
      <c r="DU59" s="934">
        <f t="shared" ref="DU59" si="1756">+DP59/DP65</f>
        <v>2.6820016235049832E-3</v>
      </c>
      <c r="DX59" s="948" t="s">
        <v>1228</v>
      </c>
      <c r="DY59" s="129"/>
      <c r="DZ59" s="129"/>
      <c r="EA59" s="129"/>
      <c r="EB59" s="129"/>
      <c r="EC59" s="1126">
        <f t="shared" ref="EC59" si="1757">+ED59/ED50</f>
        <v>2.7000000000000001E-3</v>
      </c>
      <c r="ED59" s="434">
        <f t="shared" si="1749"/>
        <v>2743413.5347190313</v>
      </c>
      <c r="EE59" s="131"/>
      <c r="EI59" s="934">
        <f t="shared" ref="EI59" si="1758">+ED59/ED65</f>
        <v>2.6820016235049832E-3</v>
      </c>
      <c r="EL59" s="948" t="s">
        <v>1228</v>
      </c>
      <c r="EM59" s="129"/>
      <c r="EN59" s="129"/>
      <c r="EO59" s="129"/>
      <c r="EP59" s="129"/>
      <c r="EQ59" s="1126">
        <f t="shared" ref="EQ59" si="1759">+ER59/ER50</f>
        <v>2.7000000000000001E-3</v>
      </c>
      <c r="ER59" s="434">
        <f t="shared" ref="ER59:GV59" si="1760">+SUM(ER53:ER57)</f>
        <v>3908323.907850598</v>
      </c>
      <c r="ES59" s="131"/>
      <c r="EW59" s="934">
        <f t="shared" ref="EW59" si="1761">+ER59/ER65</f>
        <v>2.6820016235049827E-3</v>
      </c>
      <c r="EZ59" s="948" t="s">
        <v>1228</v>
      </c>
      <c r="FA59" s="129"/>
      <c r="FB59" s="129"/>
      <c r="FC59" s="129"/>
      <c r="FD59" s="129"/>
      <c r="FE59" s="1126">
        <f t="shared" ref="FE59" si="1762">+FF59/FF50</f>
        <v>2.700000000000001E-3</v>
      </c>
      <c r="FF59" s="434">
        <f t="shared" si="1760"/>
        <v>4204219.5634615729</v>
      </c>
      <c r="FG59" s="131"/>
      <c r="FK59" s="934">
        <f t="shared" ref="FK59" si="1763">+FF59/FF65</f>
        <v>2.682001623504984E-3</v>
      </c>
      <c r="FN59" s="948" t="s">
        <v>1228</v>
      </c>
      <c r="FO59" s="129"/>
      <c r="FP59" s="129"/>
      <c r="FQ59" s="129"/>
      <c r="FR59" s="129"/>
      <c r="FS59" s="1126">
        <f t="shared" ref="FS59" si="1764">+FT59/FT50</f>
        <v>2.7000000000000001E-3</v>
      </c>
      <c r="FT59" s="434">
        <f t="shared" si="1760"/>
        <v>3058910.0941088311</v>
      </c>
      <c r="FU59" s="131"/>
      <c r="FY59" s="934">
        <f t="shared" ref="FY59" si="1765">+FT59/FT65</f>
        <v>2.6820016235049827E-3</v>
      </c>
      <c r="GB59" s="948" t="s">
        <v>1228</v>
      </c>
      <c r="GC59" s="129"/>
      <c r="GD59" s="129"/>
      <c r="GE59" s="129"/>
      <c r="GF59" s="129"/>
      <c r="GG59" s="1126">
        <f t="shared" ref="GG59" si="1766">+GH59/GH50</f>
        <v>2.7000000000000006E-3</v>
      </c>
      <c r="GH59" s="434">
        <f t="shared" si="1760"/>
        <v>2364921.7758643669</v>
      </c>
      <c r="GI59" s="131"/>
      <c r="GM59" s="934">
        <f t="shared" ref="GM59" si="1767">+GH59/GH65</f>
        <v>2.6820016235049832E-3</v>
      </c>
      <c r="GP59" s="948" t="s">
        <v>1228</v>
      </c>
      <c r="GQ59" s="129"/>
      <c r="GR59" s="129"/>
      <c r="GS59" s="129"/>
      <c r="GT59" s="129"/>
      <c r="GU59" s="1126">
        <f t="shared" ref="GU59" si="1768">+GV59/GV50</f>
        <v>2.7000000000000001E-3</v>
      </c>
      <c r="GV59" s="434">
        <f t="shared" si="1760"/>
        <v>1479251.1147796093</v>
      </c>
      <c r="GW59" s="131"/>
      <c r="HA59" s="934">
        <f t="shared" ref="HA59" si="1769">+GV59/GV65</f>
        <v>2.6820016235049832E-3</v>
      </c>
      <c r="HD59" s="948" t="s">
        <v>1228</v>
      </c>
      <c r="HE59" s="129"/>
      <c r="HF59" s="129"/>
      <c r="HG59" s="129"/>
      <c r="HH59" s="129"/>
      <c r="HI59" s="1126">
        <f t="shared" ref="HI59" si="1770">+HJ59/HJ50</f>
        <v>2.7000000000000001E-3</v>
      </c>
      <c r="HJ59" s="434">
        <f t="shared" ref="HJ59:KB59" si="1771">+SUM(HJ53:HJ57)</f>
        <v>4751925.5712252557</v>
      </c>
      <c r="HK59" s="131"/>
      <c r="HO59" s="934">
        <f t="shared" ref="HO59" si="1772">+HJ59/HJ65</f>
        <v>2.6820016235049827E-3</v>
      </c>
      <c r="HR59" s="948" t="s">
        <v>1228</v>
      </c>
      <c r="HS59" s="129"/>
      <c r="HT59" s="129"/>
      <c r="HU59" s="129"/>
      <c r="HV59" s="129"/>
      <c r="HW59" s="1126">
        <f t="shared" ref="HW59" si="1773">+HX59/HX50</f>
        <v>2.7000000000000001E-3</v>
      </c>
      <c r="HX59" s="434">
        <f t="shared" si="1771"/>
        <v>1669108.0242253989</v>
      </c>
      <c r="HY59" s="131"/>
      <c r="IC59" s="934">
        <f t="shared" ref="IC59" si="1774">+HX59/HX65</f>
        <v>2.6820016235049832E-3</v>
      </c>
      <c r="IF59" s="948" t="s">
        <v>1228</v>
      </c>
      <c r="IG59" s="129"/>
      <c r="IH59" s="129"/>
      <c r="II59" s="129"/>
      <c r="IJ59" s="129"/>
      <c r="IK59" s="1126">
        <f t="shared" ref="IK59" si="1775">+IL59/IL50</f>
        <v>2.7000000000000006E-3</v>
      </c>
      <c r="IL59" s="434">
        <f t="shared" si="1771"/>
        <v>1122698.30876661</v>
      </c>
      <c r="IM59" s="131"/>
      <c r="IQ59" s="934">
        <f t="shared" ref="IQ59" si="1776">+IL59/IL65</f>
        <v>2.6820016235049832E-3</v>
      </c>
      <c r="IT59" s="948" t="s">
        <v>1228</v>
      </c>
      <c r="IU59" s="129"/>
      <c r="IV59" s="129"/>
      <c r="IW59" s="129"/>
      <c r="IX59" s="129"/>
      <c r="IY59" s="1126">
        <f t="shared" ref="IY59" si="1777">+IZ59/IZ50</f>
        <v>2.6999999999999997E-3</v>
      </c>
      <c r="IZ59" s="434">
        <f t="shared" si="1771"/>
        <v>6981405.0063383607</v>
      </c>
      <c r="JA59" s="131"/>
      <c r="JE59" s="934">
        <f t="shared" ref="JE59" si="1778">+IZ59/IZ65</f>
        <v>2.6820016235049823E-3</v>
      </c>
      <c r="JH59" s="948" t="s">
        <v>1228</v>
      </c>
      <c r="JI59" s="129"/>
      <c r="JJ59" s="129"/>
      <c r="JK59" s="129"/>
      <c r="JL59" s="129"/>
      <c r="JM59" s="1126">
        <f t="shared" ref="JM59" si="1779">+JN59/JN50</f>
        <v>2.7000000000000001E-3</v>
      </c>
      <c r="JN59" s="434">
        <f t="shared" ref="JN59" si="1780">+SUM(JN53:JN57)</f>
        <v>8104103.3151049707</v>
      </c>
      <c r="JO59" s="131"/>
      <c r="JS59" s="934">
        <f t="shared" ref="JS59" si="1781">+JN59/JN65</f>
        <v>2.6820016235049832E-3</v>
      </c>
      <c r="JV59" s="948" t="s">
        <v>1228</v>
      </c>
      <c r="JW59" s="129"/>
      <c r="JX59" s="129"/>
      <c r="JY59" s="129"/>
      <c r="JZ59" s="129"/>
      <c r="KA59" s="1126">
        <f t="shared" ref="KA59" si="1782">+KB59/KB50</f>
        <v>2.7000000000000001E-3</v>
      </c>
      <c r="KB59" s="434">
        <f t="shared" si="1771"/>
        <v>2352199.1298607588</v>
      </c>
      <c r="KC59" s="131"/>
      <c r="KG59" s="934">
        <f t="shared" ref="KG59" si="1783">+KB59/KB65</f>
        <v>2.6820016235049827E-3</v>
      </c>
      <c r="KJ59" s="948" t="s">
        <v>1228</v>
      </c>
      <c r="KK59" s="129"/>
      <c r="KL59" s="129"/>
      <c r="KM59" s="129"/>
      <c r="KN59" s="129"/>
      <c r="KO59" s="1126">
        <f t="shared" ref="KO59" si="1784">+KP59/KP50</f>
        <v>2.7000000000000001E-3</v>
      </c>
      <c r="KP59" s="434">
        <f t="shared" ref="KP59:MT59" si="1785">+SUM(KP53:KP57)</f>
        <v>1414432.5492062205</v>
      </c>
      <c r="KQ59" s="131"/>
      <c r="KU59" s="934">
        <f t="shared" ref="KU59" si="1786">+KP59/KP65</f>
        <v>2.6820016235049827E-3</v>
      </c>
      <c r="KX59" s="948" t="s">
        <v>1228</v>
      </c>
      <c r="KY59" s="129"/>
      <c r="KZ59" s="129"/>
      <c r="LA59" s="129"/>
      <c r="LB59" s="129"/>
      <c r="LC59" s="1126">
        <f t="shared" ref="LC59" si="1787">+LD59/LD50</f>
        <v>2.7000000000000006E-3</v>
      </c>
      <c r="LD59" s="434">
        <f t="shared" si="1785"/>
        <v>1150600.8568045641</v>
      </c>
      <c r="LE59" s="131"/>
      <c r="LI59" s="934">
        <f t="shared" ref="LI59" si="1788">+LD59/LD65</f>
        <v>2.6820016235049836E-3</v>
      </c>
      <c r="LL59" s="948" t="s">
        <v>1228</v>
      </c>
      <c r="LM59" s="129"/>
      <c r="LN59" s="129"/>
      <c r="LO59" s="129"/>
      <c r="LP59" s="129"/>
      <c r="LQ59" s="1126">
        <f t="shared" ref="LQ59" si="1789">+LR59/LR50</f>
        <v>2.7000000000000001E-3</v>
      </c>
      <c r="LR59" s="434">
        <f t="shared" si="1785"/>
        <v>3010372.1618950153</v>
      </c>
      <c r="LS59" s="131"/>
      <c r="LW59" s="934">
        <f t="shared" ref="LW59" si="1790">+LR59/LR65</f>
        <v>2.6820016235049832E-3</v>
      </c>
      <c r="LZ59" s="948" t="s">
        <v>1228</v>
      </c>
      <c r="MA59" s="129"/>
      <c r="MB59" s="129"/>
      <c r="MC59" s="129"/>
      <c r="MD59" s="129"/>
      <c r="ME59" s="1126">
        <f t="shared" ref="ME59" si="1791">+MF59/MF50</f>
        <v>2.7000000000000001E-3</v>
      </c>
      <c r="MF59" s="434">
        <f t="shared" si="1785"/>
        <v>2986103.1957881073</v>
      </c>
      <c r="MG59" s="131"/>
      <c r="MK59" s="934">
        <f t="shared" ref="MK59" si="1792">+MF59/MF65</f>
        <v>2.6820016235049823E-3</v>
      </c>
      <c r="MN59" s="948" t="s">
        <v>1228</v>
      </c>
      <c r="MO59" s="129"/>
      <c r="MP59" s="129"/>
      <c r="MQ59" s="129"/>
      <c r="MR59" s="129"/>
      <c r="MS59" s="1126">
        <f t="shared" ref="MS59" si="1793">+MT59/MT50</f>
        <v>2.7000000000000001E-3</v>
      </c>
      <c r="MT59" s="434">
        <f t="shared" si="1785"/>
        <v>3055596.9959831</v>
      </c>
      <c r="MU59" s="131"/>
      <c r="MY59" s="934">
        <f t="shared" ref="MY59" si="1794">+MT59/MT65</f>
        <v>2.6820016235049832E-3</v>
      </c>
      <c r="NB59" s="948" t="s">
        <v>1228</v>
      </c>
      <c r="NC59" s="129"/>
      <c r="ND59" s="129"/>
      <c r="NE59" s="129"/>
      <c r="NF59" s="129"/>
      <c r="NG59" s="1126">
        <f t="shared" ref="NG59" si="1795">+NH59/NH50</f>
        <v>2.7000000000000001E-3</v>
      </c>
      <c r="NH59" s="434">
        <f t="shared" ref="NH59:PL59" si="1796">+SUM(NH53:NH57)</f>
        <v>5847800.4298178572</v>
      </c>
      <c r="NI59" s="131"/>
      <c r="NM59" s="934">
        <f t="shared" ref="NM59" si="1797">+NH59/NH65</f>
        <v>2.6820016235049832E-3</v>
      </c>
      <c r="NP59" s="948" t="s">
        <v>1228</v>
      </c>
      <c r="NQ59" s="129"/>
      <c r="NR59" s="129"/>
      <c r="NS59" s="129"/>
      <c r="NT59" s="129"/>
      <c r="NU59" s="1126">
        <f t="shared" ref="NU59" si="1798">+NV59/NV50</f>
        <v>2.7000000000000006E-3</v>
      </c>
      <c r="NV59" s="434">
        <f t="shared" si="1796"/>
        <v>930902.03143959353</v>
      </c>
      <c r="NW59" s="131"/>
      <c r="OA59" s="934">
        <f t="shared" ref="OA59" si="1799">+NV59/NV65</f>
        <v>2.6820016235049832E-3</v>
      </c>
      <c r="OD59" s="948" t="s">
        <v>1228</v>
      </c>
      <c r="OE59" s="129"/>
      <c r="OF59" s="129"/>
      <c r="OG59" s="129"/>
      <c r="OH59" s="129"/>
      <c r="OI59" s="1126">
        <f t="shared" ref="OI59" si="1800">+OJ59/OJ50</f>
        <v>2.700000000000001E-3</v>
      </c>
      <c r="OJ59" s="434">
        <f t="shared" si="1796"/>
        <v>1213226.5057496529</v>
      </c>
      <c r="OK59" s="131"/>
      <c r="OO59" s="934">
        <f t="shared" ref="OO59" si="1801">+OJ59/OJ65</f>
        <v>2.6820016235049836E-3</v>
      </c>
      <c r="OR59" s="948" t="s">
        <v>1228</v>
      </c>
      <c r="OS59" s="129"/>
      <c r="OT59" s="129"/>
      <c r="OU59" s="129"/>
      <c r="OV59" s="129"/>
      <c r="OW59" s="1126">
        <f t="shared" ref="OW59" si="1802">+OX59/OX50</f>
        <v>2.7000000000000001E-3</v>
      </c>
      <c r="OX59" s="434">
        <f t="shared" si="1796"/>
        <v>1532772.877109143</v>
      </c>
      <c r="OY59" s="131"/>
      <c r="PC59" s="934">
        <f t="shared" ref="PC59" si="1803">+OX59/OX65</f>
        <v>2.6820016235049827E-3</v>
      </c>
      <c r="PF59" s="948" t="s">
        <v>1228</v>
      </c>
      <c r="PG59" s="129"/>
      <c r="PH59" s="129"/>
      <c r="PI59" s="129"/>
      <c r="PJ59" s="129"/>
      <c r="PK59" s="1126">
        <f t="shared" ref="PK59" si="1804">+PL59/PL50</f>
        <v>2.7000000000000006E-3</v>
      </c>
      <c r="PL59" s="434">
        <f t="shared" si="1796"/>
        <v>389778.0552587664</v>
      </c>
      <c r="PM59" s="131"/>
      <c r="PQ59" s="934">
        <f t="shared" ref="PQ59" si="1805">+PL59/PL65</f>
        <v>2.6820016235049827E-3</v>
      </c>
      <c r="PT59" s="948" t="s">
        <v>1228</v>
      </c>
      <c r="PU59" s="129"/>
      <c r="PV59" s="129"/>
      <c r="PW59" s="129"/>
      <c r="PX59" s="129"/>
      <c r="PY59" s="1126">
        <f t="shared" ref="PY59" si="1806">+PZ59/PZ50</f>
        <v>2.7000000000000006E-3</v>
      </c>
      <c r="PZ59" s="434">
        <f t="shared" ref="PZ59:SD59" si="1807">+SUM(PZ53:PZ57)</f>
        <v>601522.21985126392</v>
      </c>
      <c r="QA59" s="131"/>
      <c r="QE59" s="934">
        <f t="shared" ref="QE59" si="1808">+PZ59/PZ65</f>
        <v>2.6820016235049832E-3</v>
      </c>
      <c r="QH59" s="948" t="s">
        <v>1228</v>
      </c>
      <c r="QI59" s="129"/>
      <c r="QJ59" s="129"/>
      <c r="QK59" s="129"/>
      <c r="QL59" s="129"/>
      <c r="QM59" s="1126">
        <f t="shared" ref="QM59" si="1809">+QN59/QN50</f>
        <v>2.7000000000000006E-3</v>
      </c>
      <c r="QN59" s="434">
        <f t="shared" si="1807"/>
        <v>225088.14946460171</v>
      </c>
      <c r="QO59" s="131"/>
      <c r="QS59" s="934">
        <f t="shared" ref="QS59" si="1810">+QN59/QN65</f>
        <v>2.6820016235049836E-3</v>
      </c>
      <c r="QV59" s="948" t="s">
        <v>1228</v>
      </c>
      <c r="QW59" s="129"/>
      <c r="QX59" s="129"/>
      <c r="QY59" s="129"/>
      <c r="QZ59" s="129"/>
      <c r="RA59" s="1126">
        <f t="shared" ref="RA59" si="1811">+RB59/RB50</f>
        <v>2.7000000000000001E-3</v>
      </c>
      <c r="RB59" s="434">
        <f t="shared" si="1807"/>
        <v>507413.70225459832</v>
      </c>
      <c r="RC59" s="131"/>
      <c r="RG59" s="934">
        <f t="shared" ref="RG59" si="1812">+RB59/RB65</f>
        <v>2.6820016235049832E-3</v>
      </c>
      <c r="RJ59" s="948" t="s">
        <v>1228</v>
      </c>
      <c r="RK59" s="129"/>
      <c r="RL59" s="129"/>
      <c r="RM59" s="129"/>
      <c r="RN59" s="129"/>
      <c r="RO59" s="1126">
        <f t="shared" ref="RO59" si="1813">+RP59/RP50</f>
        <v>2.7000000000000001E-3</v>
      </c>
      <c r="RP59" s="434">
        <f t="shared" si="1807"/>
        <v>225692.86254663815</v>
      </c>
      <c r="RQ59" s="131"/>
      <c r="RU59" s="934">
        <f t="shared" ref="RU59" si="1814">+RP59/RP65</f>
        <v>2.6820016235049832E-3</v>
      </c>
      <c r="RX59" s="948" t="s">
        <v>1228</v>
      </c>
      <c r="RY59" s="129"/>
      <c r="RZ59" s="129"/>
      <c r="SA59" s="129"/>
      <c r="SB59" s="129"/>
      <c r="SC59" s="1126">
        <f t="shared" ref="SC59" si="1815">+SD59/SD50</f>
        <v>2.7000000000000006E-3</v>
      </c>
      <c r="SD59" s="434">
        <f t="shared" si="1807"/>
        <v>342723.79646043363</v>
      </c>
      <c r="SE59" s="131"/>
      <c r="SI59" s="934">
        <f t="shared" ref="SI59" si="1816">+SD59/SD65</f>
        <v>2.6820016235049832E-3</v>
      </c>
      <c r="SL59" s="948" t="s">
        <v>1228</v>
      </c>
      <c r="SM59" s="129"/>
      <c r="SN59" s="129"/>
      <c r="SO59" s="129"/>
      <c r="SP59" s="129"/>
      <c r="SQ59" s="1126">
        <f>IF(ISERROR((+SR59/SR50)),0,(+SR59/SR50))</f>
        <v>0</v>
      </c>
      <c r="SR59" s="434">
        <f t="shared" ref="SR59" si="1817">+SUM(SR53:SR57)</f>
        <v>0</v>
      </c>
      <c r="SS59" s="131"/>
      <c r="SW59" s="934">
        <f>IF(ISERROR((+SR59/SR65)),0,(+SR59/SR65))</f>
        <v>0</v>
      </c>
      <c r="SZ59" s="948" t="s">
        <v>1228</v>
      </c>
      <c r="TA59" s="129"/>
      <c r="TB59" s="129"/>
      <c r="TC59" s="129"/>
      <c r="TD59" s="129"/>
      <c r="TE59" s="1127">
        <f t="shared" ref="TE59" si="1818">+TF59/TF50</f>
        <v>2.7000000000000001E-3</v>
      </c>
      <c r="TF59" s="434">
        <f t="shared" ref="TF59" si="1819">+SUM(TF53:TF57)</f>
        <v>87088007.69346872</v>
      </c>
      <c r="TG59" s="131"/>
      <c r="TK59" s="934">
        <f t="shared" ref="TK59" si="1820">+TF59/TF65</f>
        <v>2.6820016235049827E-3</v>
      </c>
    </row>
    <row r="60" spans="2:532" ht="9" customHeight="1" thickBot="1">
      <c r="B60" s="530"/>
      <c r="C60" s="518"/>
      <c r="D60" s="518"/>
      <c r="E60" s="119"/>
      <c r="F60" s="119"/>
      <c r="G60" s="531"/>
      <c r="H60" s="532"/>
      <c r="P60" s="530"/>
      <c r="Q60" s="518"/>
      <c r="R60" s="518"/>
      <c r="S60" s="119"/>
      <c r="T60" s="119"/>
      <c r="U60" s="531"/>
      <c r="V60" s="532"/>
      <c r="AD60" s="530"/>
      <c r="AE60" s="518"/>
      <c r="AF60" s="518"/>
      <c r="AG60" s="119"/>
      <c r="AH60" s="119"/>
      <c r="AI60" s="531"/>
      <c r="AJ60" s="532"/>
      <c r="AR60" s="530"/>
      <c r="AS60" s="518"/>
      <c r="AT60" s="518"/>
      <c r="AU60" s="119"/>
      <c r="AV60" s="119"/>
      <c r="AW60" s="531"/>
      <c r="AX60" s="532"/>
      <c r="BF60" s="530"/>
      <c r="BG60" s="518"/>
      <c r="BH60" s="518"/>
      <c r="BI60" s="119"/>
      <c r="BJ60" s="119"/>
      <c r="BK60" s="531"/>
      <c r="BL60" s="532"/>
      <c r="BT60" s="530"/>
      <c r="BU60" s="518"/>
      <c r="BV60" s="518"/>
      <c r="BW60" s="119"/>
      <c r="BX60" s="119"/>
      <c r="BY60" s="531"/>
      <c r="BZ60" s="532"/>
      <c r="CH60" s="530"/>
      <c r="CI60" s="518"/>
      <c r="CJ60" s="518"/>
      <c r="CK60" s="119"/>
      <c r="CL60" s="119"/>
      <c r="CM60" s="531"/>
      <c r="CN60" s="532"/>
      <c r="CV60" s="530"/>
      <c r="CW60" s="518"/>
      <c r="CX60" s="518"/>
      <c r="CY60" s="119"/>
      <c r="CZ60" s="119"/>
      <c r="DA60" s="531"/>
      <c r="DB60" s="532"/>
      <c r="DJ60" s="530"/>
      <c r="DK60" s="518"/>
      <c r="DL60" s="518"/>
      <c r="DM60" s="119"/>
      <c r="DN60" s="119"/>
      <c r="DO60" s="531"/>
      <c r="DP60" s="532"/>
      <c r="DX60" s="530"/>
      <c r="DY60" s="518"/>
      <c r="DZ60" s="518"/>
      <c r="EA60" s="119"/>
      <c r="EB60" s="119"/>
      <c r="EC60" s="531"/>
      <c r="ED60" s="532"/>
      <c r="EL60" s="530"/>
      <c r="EM60" s="518"/>
      <c r="EN60" s="518"/>
      <c r="EO60" s="119"/>
      <c r="EP60" s="119"/>
      <c r="EQ60" s="531"/>
      <c r="ER60" s="532"/>
      <c r="EZ60" s="530"/>
      <c r="FA60" s="518"/>
      <c r="FB60" s="518"/>
      <c r="FC60" s="119"/>
      <c r="FD60" s="119"/>
      <c r="FE60" s="531"/>
      <c r="FF60" s="532"/>
      <c r="FN60" s="530"/>
      <c r="FO60" s="518"/>
      <c r="FP60" s="518"/>
      <c r="FQ60" s="119"/>
      <c r="FR60" s="119"/>
      <c r="FS60" s="531"/>
      <c r="FT60" s="532"/>
      <c r="GB60" s="530"/>
      <c r="GC60" s="518"/>
      <c r="GD60" s="518"/>
      <c r="GE60" s="119"/>
      <c r="GF60" s="119"/>
      <c r="GG60" s="531"/>
      <c r="GH60" s="532"/>
      <c r="GP60" s="530"/>
      <c r="GQ60" s="518"/>
      <c r="GR60" s="518"/>
      <c r="GS60" s="119"/>
      <c r="GT60" s="119"/>
      <c r="GU60" s="531"/>
      <c r="GV60" s="532"/>
      <c r="HD60" s="530"/>
      <c r="HE60" s="518"/>
      <c r="HF60" s="518"/>
      <c r="HG60" s="119"/>
      <c r="HH60" s="119"/>
      <c r="HI60" s="531"/>
      <c r="HJ60" s="532"/>
      <c r="HR60" s="530"/>
      <c r="HS60" s="518"/>
      <c r="HT60" s="518"/>
      <c r="HU60" s="119"/>
      <c r="HV60" s="119"/>
      <c r="HW60" s="531"/>
      <c r="HX60" s="532"/>
      <c r="IF60" s="530"/>
      <c r="IG60" s="518"/>
      <c r="IH60" s="518"/>
      <c r="II60" s="119"/>
      <c r="IJ60" s="119"/>
      <c r="IK60" s="531"/>
      <c r="IL60" s="532"/>
      <c r="IT60" s="530"/>
      <c r="IU60" s="518"/>
      <c r="IV60" s="518"/>
      <c r="IW60" s="119"/>
      <c r="IX60" s="119"/>
      <c r="IY60" s="531"/>
      <c r="IZ60" s="532"/>
      <c r="JH60" s="530"/>
      <c r="JI60" s="518"/>
      <c r="JJ60" s="518"/>
      <c r="JK60" s="119"/>
      <c r="JL60" s="119"/>
      <c r="JM60" s="531"/>
      <c r="JN60" s="532"/>
      <c r="JV60" s="530"/>
      <c r="JW60" s="518"/>
      <c r="JX60" s="518"/>
      <c r="JY60" s="119"/>
      <c r="JZ60" s="119"/>
      <c r="KA60" s="531"/>
      <c r="KB60" s="532"/>
      <c r="KJ60" s="530"/>
      <c r="KK60" s="518"/>
      <c r="KL60" s="518"/>
      <c r="KM60" s="119"/>
      <c r="KN60" s="119"/>
      <c r="KO60" s="531"/>
      <c r="KP60" s="532"/>
      <c r="KX60" s="530"/>
      <c r="KY60" s="518"/>
      <c r="KZ60" s="518"/>
      <c r="LA60" s="119"/>
      <c r="LB60" s="119"/>
      <c r="LC60" s="531"/>
      <c r="LD60" s="532"/>
      <c r="LL60" s="530"/>
      <c r="LM60" s="518"/>
      <c r="LN60" s="518"/>
      <c r="LO60" s="119"/>
      <c r="LP60" s="119"/>
      <c r="LQ60" s="531"/>
      <c r="LR60" s="532"/>
      <c r="LZ60" s="530"/>
      <c r="MA60" s="518"/>
      <c r="MB60" s="518"/>
      <c r="MC60" s="119"/>
      <c r="MD60" s="119"/>
      <c r="ME60" s="531"/>
      <c r="MF60" s="532"/>
      <c r="MN60" s="530"/>
      <c r="MO60" s="518"/>
      <c r="MP60" s="518"/>
      <c r="MQ60" s="119"/>
      <c r="MR60" s="119"/>
      <c r="MS60" s="531"/>
      <c r="MT60" s="532"/>
      <c r="NB60" s="530"/>
      <c r="NC60" s="518"/>
      <c r="ND60" s="518"/>
      <c r="NE60" s="119"/>
      <c r="NF60" s="119"/>
      <c r="NG60" s="531"/>
      <c r="NH60" s="532"/>
      <c r="NP60" s="530"/>
      <c r="NQ60" s="518"/>
      <c r="NR60" s="518"/>
      <c r="NS60" s="119"/>
      <c r="NT60" s="119"/>
      <c r="NU60" s="531"/>
      <c r="NV60" s="532"/>
      <c r="OD60" s="530"/>
      <c r="OE60" s="518"/>
      <c r="OF60" s="518"/>
      <c r="OG60" s="119"/>
      <c r="OH60" s="119"/>
      <c r="OI60" s="531"/>
      <c r="OJ60" s="532"/>
      <c r="OR60" s="530"/>
      <c r="OS60" s="518"/>
      <c r="OT60" s="518"/>
      <c r="OU60" s="119"/>
      <c r="OV60" s="119"/>
      <c r="OW60" s="531"/>
      <c r="OX60" s="532"/>
      <c r="PF60" s="530"/>
      <c r="PG60" s="518"/>
      <c r="PH60" s="518"/>
      <c r="PI60" s="119"/>
      <c r="PJ60" s="119"/>
      <c r="PK60" s="531"/>
      <c r="PL60" s="532"/>
      <c r="PT60" s="530"/>
      <c r="PU60" s="518"/>
      <c r="PV60" s="518"/>
      <c r="PW60" s="119"/>
      <c r="PX60" s="119"/>
      <c r="PY60" s="531"/>
      <c r="PZ60" s="532"/>
      <c r="QH60" s="530"/>
      <c r="QI60" s="518"/>
      <c r="QJ60" s="518"/>
      <c r="QK60" s="119"/>
      <c r="QL60" s="119"/>
      <c r="QM60" s="531"/>
      <c r="QN60" s="532"/>
      <c r="QV60" s="530"/>
      <c r="QW60" s="518"/>
      <c r="QX60" s="518"/>
      <c r="QY60" s="119"/>
      <c r="QZ60" s="119"/>
      <c r="RA60" s="531"/>
      <c r="RB60" s="532"/>
      <c r="RJ60" s="530"/>
      <c r="RK60" s="518"/>
      <c r="RL60" s="518"/>
      <c r="RM60" s="119"/>
      <c r="RN60" s="119"/>
      <c r="RO60" s="531"/>
      <c r="RP60" s="532"/>
      <c r="RX60" s="530"/>
      <c r="RY60" s="518"/>
      <c r="RZ60" s="518"/>
      <c r="SA60" s="119"/>
      <c r="SB60" s="119"/>
      <c r="SC60" s="531"/>
      <c r="SD60" s="532"/>
      <c r="SL60" s="530"/>
      <c r="SM60" s="518"/>
      <c r="SN60" s="518"/>
      <c r="SO60" s="119"/>
      <c r="SP60" s="119"/>
      <c r="SQ60" s="531"/>
      <c r="SR60" s="532"/>
      <c r="SZ60" s="530"/>
      <c r="TA60" s="518"/>
      <c r="TB60" s="518"/>
      <c r="TC60" s="119"/>
      <c r="TD60" s="119"/>
      <c r="TE60" s="531"/>
      <c r="TF60" s="532"/>
    </row>
    <row r="61" spans="2:532" ht="15.75" customHeight="1" thickBot="1">
      <c r="B61" s="1201" t="s">
        <v>2333</v>
      </c>
      <c r="C61" s="1202"/>
      <c r="D61" s="1202"/>
      <c r="E61" s="112"/>
      <c r="F61" s="113"/>
      <c r="G61" s="113"/>
      <c r="H61" s="464">
        <f>+H50+H59</f>
        <v>2907538131.1658587</v>
      </c>
      <c r="I61" s="135"/>
      <c r="P61" s="1201" t="s">
        <v>2333</v>
      </c>
      <c r="Q61" s="1202"/>
      <c r="R61" s="1202"/>
      <c r="S61" s="112"/>
      <c r="T61" s="113"/>
      <c r="U61" s="113"/>
      <c r="V61" s="464">
        <f t="shared" ref="V61" si="1821">+V50+V59</f>
        <v>683634843.42251456</v>
      </c>
      <c r="W61" s="135"/>
      <c r="AD61" s="1201" t="s">
        <v>2333</v>
      </c>
      <c r="AE61" s="1202"/>
      <c r="AF61" s="1202"/>
      <c r="AG61" s="112"/>
      <c r="AH61" s="113"/>
      <c r="AI61" s="113"/>
      <c r="AJ61" s="464">
        <f t="shared" ref="AJ61" si="1822">+AJ50+AJ59</f>
        <v>3591172974.5883727</v>
      </c>
      <c r="AK61" s="135"/>
      <c r="AR61" s="1201" t="s">
        <v>2333</v>
      </c>
      <c r="AS61" s="1202"/>
      <c r="AT61" s="1202"/>
      <c r="AU61" s="112"/>
      <c r="AV61" s="113"/>
      <c r="AW61" s="113"/>
      <c r="AX61" s="464">
        <f t="shared" ref="AX61" si="1823">+AX50+AX59</f>
        <v>1036848050.33095</v>
      </c>
      <c r="AY61" s="135"/>
      <c r="BF61" s="1201" t="s">
        <v>2333</v>
      </c>
      <c r="BG61" s="1202"/>
      <c r="BH61" s="1202"/>
      <c r="BI61" s="112"/>
      <c r="BJ61" s="113"/>
      <c r="BK61" s="113"/>
      <c r="BL61" s="464">
        <f t="shared" ref="BL61" si="1824">+BL50+BL59</f>
        <v>1487486796.9123633</v>
      </c>
      <c r="BM61" s="135"/>
      <c r="BT61" s="1201" t="s">
        <v>2333</v>
      </c>
      <c r="BU61" s="1202"/>
      <c r="BV61" s="1202"/>
      <c r="BW61" s="112"/>
      <c r="BX61" s="113"/>
      <c r="BY61" s="113"/>
      <c r="BZ61" s="464">
        <f t="shared" ref="BZ61:ED61" si="1825">+BZ50+BZ59</f>
        <v>1272571786.2763112</v>
      </c>
      <c r="CA61" s="135"/>
      <c r="CH61" s="1201" t="s">
        <v>2333</v>
      </c>
      <c r="CI61" s="1202"/>
      <c r="CJ61" s="1202"/>
      <c r="CK61" s="112"/>
      <c r="CL61" s="113"/>
      <c r="CM61" s="113"/>
      <c r="CN61" s="464">
        <f t="shared" si="1825"/>
        <v>1272040265.139034</v>
      </c>
      <c r="CO61" s="135"/>
      <c r="CV61" s="1201" t="s">
        <v>2333</v>
      </c>
      <c r="CW61" s="1202"/>
      <c r="CX61" s="1202"/>
      <c r="CY61" s="112"/>
      <c r="CZ61" s="113"/>
      <c r="DA61" s="113"/>
      <c r="DB61" s="464">
        <f t="shared" si="1825"/>
        <v>697713906.4475764</v>
      </c>
      <c r="DC61" s="135"/>
      <c r="DJ61" s="1201" t="s">
        <v>2333</v>
      </c>
      <c r="DK61" s="1202"/>
      <c r="DL61" s="1202"/>
      <c r="DM61" s="112"/>
      <c r="DN61" s="113"/>
      <c r="DO61" s="113"/>
      <c r="DP61" s="464">
        <f t="shared" si="1825"/>
        <v>1418445037.6664672</v>
      </c>
      <c r="DQ61" s="135"/>
      <c r="DX61" s="1201" t="s">
        <v>2333</v>
      </c>
      <c r="DY61" s="1202"/>
      <c r="DZ61" s="1202"/>
      <c r="EA61" s="112"/>
      <c r="EB61" s="113"/>
      <c r="EC61" s="113"/>
      <c r="ED61" s="464">
        <f t="shared" si="1825"/>
        <v>1018822500.4676934</v>
      </c>
      <c r="EE61" s="135"/>
      <c r="EL61" s="1201" t="s">
        <v>2333</v>
      </c>
      <c r="EM61" s="1202"/>
      <c r="EN61" s="1202"/>
      <c r="EO61" s="112"/>
      <c r="EP61" s="113"/>
      <c r="EQ61" s="113"/>
      <c r="ER61" s="464">
        <f t="shared" ref="ER61:GV61" si="1826">+ER50+ER59</f>
        <v>1451435697.1858497</v>
      </c>
      <c r="ES61" s="135"/>
      <c r="EZ61" s="1201" t="s">
        <v>2333</v>
      </c>
      <c r="FA61" s="1202"/>
      <c r="FB61" s="1202"/>
      <c r="FC61" s="112"/>
      <c r="FD61" s="113"/>
      <c r="FE61" s="113"/>
      <c r="FF61" s="464">
        <f t="shared" si="1826"/>
        <v>1561322576.4010806</v>
      </c>
      <c r="FG61" s="135"/>
      <c r="FN61" s="1201" t="s">
        <v>2333</v>
      </c>
      <c r="FO61" s="1202"/>
      <c r="FP61" s="1202"/>
      <c r="FQ61" s="112"/>
      <c r="FR61" s="113"/>
      <c r="FS61" s="113"/>
      <c r="FT61" s="464">
        <f t="shared" si="1826"/>
        <v>1135988574.578861</v>
      </c>
      <c r="FU61" s="135"/>
      <c r="GB61" s="1201" t="s">
        <v>2333</v>
      </c>
      <c r="GC61" s="1202"/>
      <c r="GD61" s="1202"/>
      <c r="GE61" s="112"/>
      <c r="GF61" s="113"/>
      <c r="GG61" s="113"/>
      <c r="GH61" s="464">
        <f t="shared" si="1826"/>
        <v>878261875.79970384</v>
      </c>
      <c r="GI61" s="135"/>
      <c r="GP61" s="1201" t="s">
        <v>2333</v>
      </c>
      <c r="GQ61" s="1202"/>
      <c r="GR61" s="1202"/>
      <c r="GS61" s="112"/>
      <c r="GT61" s="113"/>
      <c r="GU61" s="113"/>
      <c r="GV61" s="464">
        <f t="shared" si="1826"/>
        <v>549350034.36648667</v>
      </c>
      <c r="GW61" s="135"/>
      <c r="HD61" s="1201" t="s">
        <v>2333</v>
      </c>
      <c r="HE61" s="1202"/>
      <c r="HF61" s="1202"/>
      <c r="HG61" s="112"/>
      <c r="HH61" s="113"/>
      <c r="HI61" s="113"/>
      <c r="HJ61" s="464">
        <f t="shared" ref="HJ61:KB61" si="1827">+HJ50+HJ59</f>
        <v>1764724359.358357</v>
      </c>
      <c r="HK61" s="135"/>
      <c r="HR61" s="1201" t="s">
        <v>2333</v>
      </c>
      <c r="HS61" s="1202"/>
      <c r="HT61" s="1202"/>
      <c r="HU61" s="112"/>
      <c r="HV61" s="113"/>
      <c r="HW61" s="113"/>
      <c r="HX61" s="464">
        <f t="shared" si="1827"/>
        <v>619857265.14474344</v>
      </c>
      <c r="HY61" s="135"/>
      <c r="IF61" s="1201" t="s">
        <v>2333</v>
      </c>
      <c r="IG61" s="1202"/>
      <c r="IH61" s="1202"/>
      <c r="II61" s="112"/>
      <c r="IJ61" s="113"/>
      <c r="IK61" s="113"/>
      <c r="IL61" s="464">
        <f t="shared" si="1827"/>
        <v>416936886.74084431</v>
      </c>
      <c r="IM61" s="135"/>
      <c r="IT61" s="1201" t="s">
        <v>2333</v>
      </c>
      <c r="IU61" s="1202"/>
      <c r="IV61" s="1202"/>
      <c r="IW61" s="112"/>
      <c r="IX61" s="113"/>
      <c r="IY61" s="113"/>
      <c r="IZ61" s="464">
        <f t="shared" si="1827"/>
        <v>2592686962.9094353</v>
      </c>
      <c r="JA61" s="135"/>
      <c r="JH61" s="1201" t="s">
        <v>2333</v>
      </c>
      <c r="JI61" s="1202"/>
      <c r="JJ61" s="1202"/>
      <c r="JK61" s="112"/>
      <c r="JL61" s="113"/>
      <c r="JM61" s="113"/>
      <c r="JN61" s="464">
        <f t="shared" ref="JN61" si="1828">+JN50+JN59</f>
        <v>3009623849.650279</v>
      </c>
      <c r="JO61" s="135"/>
      <c r="JV61" s="1201" t="s">
        <v>2333</v>
      </c>
      <c r="JW61" s="1202"/>
      <c r="JX61" s="1202"/>
      <c r="JY61" s="112"/>
      <c r="JZ61" s="113"/>
      <c r="KA61" s="113"/>
      <c r="KB61" s="464">
        <f t="shared" si="1827"/>
        <v>873537062.04125285</v>
      </c>
      <c r="KC61" s="135"/>
      <c r="KJ61" s="1201" t="s">
        <v>2333</v>
      </c>
      <c r="KK61" s="1202"/>
      <c r="KL61" s="1202"/>
      <c r="KM61" s="112"/>
      <c r="KN61" s="113"/>
      <c r="KO61" s="113"/>
      <c r="KP61" s="464">
        <f t="shared" ref="KP61:MT61" si="1829">+KP50+KP59</f>
        <v>525278339.6626212</v>
      </c>
      <c r="KQ61" s="135"/>
      <c r="KX61" s="1201" t="s">
        <v>2333</v>
      </c>
      <c r="KY61" s="1202"/>
      <c r="KZ61" s="1202"/>
      <c r="LA61" s="112"/>
      <c r="LB61" s="113"/>
      <c r="LC61" s="113"/>
      <c r="LD61" s="464">
        <f t="shared" si="1829"/>
        <v>427299066.33997637</v>
      </c>
      <c r="LE61" s="135"/>
      <c r="LL61" s="1201" t="s">
        <v>2333</v>
      </c>
      <c r="LM61" s="1202"/>
      <c r="LN61" s="1202"/>
      <c r="LO61" s="112"/>
      <c r="LP61" s="113"/>
      <c r="LQ61" s="113"/>
      <c r="LR61" s="464">
        <f t="shared" si="1829"/>
        <v>1117963024.7156043</v>
      </c>
      <c r="LS61" s="135"/>
      <c r="LZ61" s="1201" t="s">
        <v>2333</v>
      </c>
      <c r="MA61" s="1202"/>
      <c r="MB61" s="1202"/>
      <c r="MC61" s="112"/>
      <c r="MD61" s="113"/>
      <c r="ME61" s="113"/>
      <c r="MF61" s="464">
        <f t="shared" si="1829"/>
        <v>1108950249.7839761</v>
      </c>
      <c r="MG61" s="135"/>
      <c r="MN61" s="1201" t="s">
        <v>2333</v>
      </c>
      <c r="MO61" s="1202"/>
      <c r="MP61" s="1202"/>
      <c r="MQ61" s="112"/>
      <c r="MR61" s="113"/>
      <c r="MS61" s="113"/>
      <c r="MT61" s="464">
        <f t="shared" si="1829"/>
        <v>1134758188.1008348</v>
      </c>
      <c r="MU61" s="135"/>
      <c r="NB61" s="1201" t="s">
        <v>2333</v>
      </c>
      <c r="NC61" s="1202"/>
      <c r="ND61" s="1202"/>
      <c r="NE61" s="112"/>
      <c r="NF61" s="113"/>
      <c r="NG61" s="113"/>
      <c r="NH61" s="464">
        <f t="shared" ref="NH61:PL61" si="1830">+NH50+NH59</f>
        <v>2171699811.4734683</v>
      </c>
      <c r="NI61" s="135"/>
      <c r="NP61" s="1201" t="s">
        <v>2333</v>
      </c>
      <c r="NQ61" s="1202"/>
      <c r="NR61" s="1202"/>
      <c r="NS61" s="112"/>
      <c r="NT61" s="113"/>
      <c r="NU61" s="113"/>
      <c r="NV61" s="464">
        <f t="shared" si="1830"/>
        <v>345709432.19425195</v>
      </c>
      <c r="NW61" s="135"/>
      <c r="OD61" s="1201" t="s">
        <v>2333</v>
      </c>
      <c r="OE61" s="1202"/>
      <c r="OF61" s="1202"/>
      <c r="OG61" s="112"/>
      <c r="OH61" s="113"/>
      <c r="OI61" s="113"/>
      <c r="OJ61" s="464">
        <f t="shared" si="1830"/>
        <v>450556376.78339869</v>
      </c>
      <c r="OK61" s="135"/>
      <c r="OR61" s="1201" t="s">
        <v>2333</v>
      </c>
      <c r="OS61" s="1202"/>
      <c r="OT61" s="1202"/>
      <c r="OU61" s="112"/>
      <c r="OV61" s="113"/>
      <c r="OW61" s="113"/>
      <c r="OX61" s="464">
        <f t="shared" si="1830"/>
        <v>569226431.06568062</v>
      </c>
      <c r="OY61" s="135"/>
      <c r="PF61" s="1201" t="s">
        <v>2333</v>
      </c>
      <c r="PG61" s="1202"/>
      <c r="PH61" s="1202"/>
      <c r="PI61" s="112"/>
      <c r="PJ61" s="113"/>
      <c r="PK61" s="113"/>
      <c r="PL61" s="464">
        <f t="shared" si="1830"/>
        <v>144752020.74369076</v>
      </c>
      <c r="PM61" s="135"/>
      <c r="PT61" s="1201" t="s">
        <v>2333</v>
      </c>
      <c r="PU61" s="1202"/>
      <c r="PV61" s="1202"/>
      <c r="PW61" s="112"/>
      <c r="PX61" s="113"/>
      <c r="PY61" s="113"/>
      <c r="PZ61" s="464">
        <f t="shared" ref="PZ61:SD61" si="1831">+PZ50+PZ59</f>
        <v>223387529.57217118</v>
      </c>
      <c r="QA61" s="135"/>
      <c r="QH61" s="1201" t="s">
        <v>2333</v>
      </c>
      <c r="QI61" s="1202"/>
      <c r="QJ61" s="1202"/>
      <c r="QK61" s="112"/>
      <c r="QL61" s="113"/>
      <c r="QM61" s="113"/>
      <c r="QN61" s="464">
        <f t="shared" si="1831"/>
        <v>83591069.432650402</v>
      </c>
      <c r="QO61" s="135"/>
      <c r="QV61" s="1201" t="s">
        <v>2333</v>
      </c>
      <c r="QW61" s="1202"/>
      <c r="QX61" s="1202"/>
      <c r="QY61" s="112"/>
      <c r="QZ61" s="113"/>
      <c r="RA61" s="113"/>
      <c r="RB61" s="464">
        <f t="shared" si="1831"/>
        <v>188438414.53729099</v>
      </c>
      <c r="RC61" s="135"/>
      <c r="RJ61" s="1201" t="s">
        <v>2333</v>
      </c>
      <c r="RK61" s="1202"/>
      <c r="RL61" s="1202"/>
      <c r="RM61" s="112"/>
      <c r="RN61" s="113"/>
      <c r="RO61" s="113"/>
      <c r="RP61" s="464">
        <f t="shared" si="1831"/>
        <v>83815641.953894094</v>
      </c>
      <c r="RQ61" s="135"/>
      <c r="RX61" s="1201" t="s">
        <v>2333</v>
      </c>
      <c r="RY61" s="1202"/>
      <c r="RZ61" s="1202"/>
      <c r="SA61" s="112"/>
      <c r="SB61" s="113"/>
      <c r="SC61" s="113"/>
      <c r="SD61" s="464">
        <f t="shared" si="1831"/>
        <v>127277463.22625065</v>
      </c>
      <c r="SE61" s="135"/>
      <c r="SL61" s="1201" t="s">
        <v>2333</v>
      </c>
      <c r="SM61" s="1202"/>
      <c r="SN61" s="1202"/>
      <c r="SO61" s="112"/>
      <c r="SP61" s="113"/>
      <c r="SQ61" s="113"/>
      <c r="SR61" s="464">
        <f t="shared" ref="SR61" si="1832">+SR50+SR59</f>
        <v>0</v>
      </c>
      <c r="SS61" s="135"/>
      <c r="SZ61" s="1201" t="s">
        <v>2333</v>
      </c>
      <c r="TA61" s="1202"/>
      <c r="TB61" s="1202"/>
      <c r="TC61" s="112"/>
      <c r="TD61" s="113"/>
      <c r="TE61" s="113"/>
      <c r="TF61" s="464">
        <f t="shared" ref="TF61" si="1833">+TF50+TF59</f>
        <v>32341905671.941143</v>
      </c>
      <c r="TG61" s="135"/>
    </row>
    <row r="62" spans="2:532" ht="9" customHeight="1" thickBot="1"/>
    <row r="63" spans="2:532" ht="15.75" customHeight="1" thickBot="1">
      <c r="B63" s="1052" t="s">
        <v>1369</v>
      </c>
      <c r="C63" s="947"/>
      <c r="D63" s="947"/>
      <c r="E63" s="112"/>
      <c r="F63" s="113"/>
      <c r="G63" s="533">
        <f>+'Res de Costos Pais'!$G$140</f>
        <v>4.0000000000000001E-3</v>
      </c>
      <c r="H63" s="464">
        <f>+H61*G63</f>
        <v>11630152.524663435</v>
      </c>
      <c r="I63" s="135"/>
      <c r="M63" s="934">
        <f>+H63/H65</f>
        <v>3.9840637450199202E-3</v>
      </c>
      <c r="P63" s="912" t="s">
        <v>1369</v>
      </c>
      <c r="Q63" s="947"/>
      <c r="R63" s="947"/>
      <c r="S63" s="112"/>
      <c r="T63" s="113"/>
      <c r="U63" s="533">
        <f>+'Res de Costos Pais'!$G$140</f>
        <v>4.0000000000000001E-3</v>
      </c>
      <c r="V63" s="464">
        <f t="shared" ref="V63" si="1834">+V61*U63</f>
        <v>2734539.3736900585</v>
      </c>
      <c r="W63" s="135"/>
      <c r="AA63" s="934">
        <f t="shared" ref="AA63" si="1835">+V63/V65</f>
        <v>3.9840637450199211E-3</v>
      </c>
      <c r="AD63" s="1035" t="s">
        <v>1369</v>
      </c>
      <c r="AE63" s="947"/>
      <c r="AF63" s="947"/>
      <c r="AG63" s="112"/>
      <c r="AH63" s="113"/>
      <c r="AI63" s="533">
        <f>+'Res de Costos Pais'!$G$140</f>
        <v>4.0000000000000001E-3</v>
      </c>
      <c r="AJ63" s="464">
        <f t="shared" ref="AJ63" si="1836">+AJ61*AI63</f>
        <v>14364691.898353491</v>
      </c>
      <c r="AK63" s="135"/>
      <c r="AO63" s="934">
        <f t="shared" ref="AO63" si="1837">+AJ63/AJ65</f>
        <v>3.9840637450199202E-3</v>
      </c>
      <c r="AR63" s="1052" t="s">
        <v>1369</v>
      </c>
      <c r="AS63" s="947"/>
      <c r="AT63" s="947"/>
      <c r="AU63" s="112"/>
      <c r="AV63" s="113"/>
      <c r="AW63" s="533">
        <f>+'Res de Costos Pais'!$G$140</f>
        <v>4.0000000000000001E-3</v>
      </c>
      <c r="AX63" s="464">
        <f t="shared" ref="AX63" si="1838">+AX61*AW63</f>
        <v>4147392.2013238003</v>
      </c>
      <c r="AY63" s="135"/>
      <c r="BC63" s="934">
        <f t="shared" ref="BC63" si="1839">+AX63/AX65</f>
        <v>3.9840637450199202E-3</v>
      </c>
      <c r="BF63" s="1052" t="s">
        <v>1369</v>
      </c>
      <c r="BG63" s="947"/>
      <c r="BH63" s="947"/>
      <c r="BI63" s="112"/>
      <c r="BJ63" s="113"/>
      <c r="BK63" s="533">
        <f>+'Res de Costos Pais'!$G$140</f>
        <v>4.0000000000000001E-3</v>
      </c>
      <c r="BL63" s="464">
        <f t="shared" ref="BL63" si="1840">+BL61*BK63</f>
        <v>5949947.1876494531</v>
      </c>
      <c r="BM63" s="135"/>
      <c r="BQ63" s="934">
        <f t="shared" ref="BQ63" si="1841">+BL63/BL65</f>
        <v>3.9840637450199202E-3</v>
      </c>
      <c r="BT63" s="1052" t="s">
        <v>1369</v>
      </c>
      <c r="BU63" s="947"/>
      <c r="BV63" s="947"/>
      <c r="BW63" s="112"/>
      <c r="BX63" s="113"/>
      <c r="BY63" s="533">
        <f>+'Res de Costos Pais'!$G$140</f>
        <v>4.0000000000000001E-3</v>
      </c>
      <c r="BZ63" s="464">
        <f t="shared" ref="BZ63" si="1842">+BZ61*BY63</f>
        <v>5090287.1451052446</v>
      </c>
      <c r="CA63" s="135"/>
      <c r="CE63" s="934">
        <f t="shared" ref="CE63" si="1843">+BZ63/BZ65</f>
        <v>3.9840637450199202E-3</v>
      </c>
      <c r="CH63" s="1052" t="s">
        <v>1369</v>
      </c>
      <c r="CI63" s="947"/>
      <c r="CJ63" s="947"/>
      <c r="CK63" s="112"/>
      <c r="CL63" s="113"/>
      <c r="CM63" s="533">
        <f>+'Res de Costos Pais'!$G$140</f>
        <v>4.0000000000000001E-3</v>
      </c>
      <c r="CN63" s="464">
        <f t="shared" ref="CN63" si="1844">+CN61*CM63</f>
        <v>5088161.0605561361</v>
      </c>
      <c r="CO63" s="135"/>
      <c r="CS63" s="934">
        <f t="shared" ref="CS63" si="1845">+CN63/CN65</f>
        <v>3.9840637450199202E-3</v>
      </c>
      <c r="CV63" s="1052" t="s">
        <v>1369</v>
      </c>
      <c r="CW63" s="947"/>
      <c r="CX63" s="947"/>
      <c r="CY63" s="112"/>
      <c r="CZ63" s="113"/>
      <c r="DA63" s="533">
        <f>+'Res de Costos Pais'!$G$140</f>
        <v>4.0000000000000001E-3</v>
      </c>
      <c r="DB63" s="464">
        <f t="shared" ref="DB63" si="1846">+DB61*DA63</f>
        <v>2790855.6257903059</v>
      </c>
      <c r="DC63" s="135"/>
      <c r="DG63" s="934">
        <f t="shared" ref="DG63" si="1847">+DB63/DB65</f>
        <v>3.9840637450199202E-3</v>
      </c>
      <c r="DJ63" s="1052" t="s">
        <v>1369</v>
      </c>
      <c r="DK63" s="947"/>
      <c r="DL63" s="947"/>
      <c r="DM63" s="112"/>
      <c r="DN63" s="113"/>
      <c r="DO63" s="533">
        <f>+'Res de Costos Pais'!$G$140</f>
        <v>4.0000000000000001E-3</v>
      </c>
      <c r="DP63" s="464">
        <f t="shared" ref="DP63" si="1848">+DP61*DO63</f>
        <v>5673780.150665869</v>
      </c>
      <c r="DQ63" s="135"/>
      <c r="DU63" s="934">
        <f t="shared" ref="DU63" si="1849">+DP63/DP65</f>
        <v>3.9840637450199211E-3</v>
      </c>
      <c r="DX63" s="1052" t="s">
        <v>1369</v>
      </c>
      <c r="DY63" s="947"/>
      <c r="DZ63" s="947"/>
      <c r="EA63" s="112"/>
      <c r="EB63" s="113"/>
      <c r="EC63" s="533">
        <f>+'Res de Costos Pais'!$G$140</f>
        <v>4.0000000000000001E-3</v>
      </c>
      <c r="ED63" s="464">
        <f t="shared" ref="ED63" si="1850">+ED61*EC63</f>
        <v>4075290.0018707737</v>
      </c>
      <c r="EE63" s="135"/>
      <c r="EI63" s="934">
        <f t="shared" ref="EI63" si="1851">+ED63/ED65</f>
        <v>3.9840637450199202E-3</v>
      </c>
      <c r="EL63" s="1052" t="s">
        <v>1369</v>
      </c>
      <c r="EM63" s="947"/>
      <c r="EN63" s="947"/>
      <c r="EO63" s="112"/>
      <c r="EP63" s="113"/>
      <c r="EQ63" s="533">
        <f>+'Res de Costos Pais'!$G$140</f>
        <v>4.0000000000000001E-3</v>
      </c>
      <c r="ER63" s="464">
        <f t="shared" ref="ER63" si="1852">+ER61*EQ63</f>
        <v>5805742.7887433991</v>
      </c>
      <c r="ES63" s="135"/>
      <c r="EW63" s="934">
        <f t="shared" ref="EW63" si="1853">+ER63/ER65</f>
        <v>3.9840637450199202E-3</v>
      </c>
      <c r="EZ63" s="1052" t="s">
        <v>1369</v>
      </c>
      <c r="FA63" s="947"/>
      <c r="FB63" s="947"/>
      <c r="FC63" s="112"/>
      <c r="FD63" s="113"/>
      <c r="FE63" s="533">
        <f>+'Res de Costos Pais'!$G$140</f>
        <v>4.0000000000000001E-3</v>
      </c>
      <c r="FF63" s="464">
        <f t="shared" ref="FF63" si="1854">+FF61*FE63</f>
        <v>6245290.3056043228</v>
      </c>
      <c r="FG63" s="135"/>
      <c r="FK63" s="934">
        <f t="shared" ref="FK63" si="1855">+FF63/FF65</f>
        <v>3.9840637450199211E-3</v>
      </c>
      <c r="FN63" s="1052" t="s">
        <v>1369</v>
      </c>
      <c r="FO63" s="947"/>
      <c r="FP63" s="947"/>
      <c r="FQ63" s="112"/>
      <c r="FR63" s="113"/>
      <c r="FS63" s="533">
        <f>+'Res de Costos Pais'!$G$140</f>
        <v>4.0000000000000001E-3</v>
      </c>
      <c r="FT63" s="464">
        <f t="shared" ref="FT63" si="1856">+FT61*FS63</f>
        <v>4543954.298315444</v>
      </c>
      <c r="FU63" s="135"/>
      <c r="FY63" s="934">
        <f t="shared" ref="FY63" si="1857">+FT63/FT65</f>
        <v>3.9840637450199202E-3</v>
      </c>
      <c r="GB63" s="1052" t="s">
        <v>1369</v>
      </c>
      <c r="GC63" s="947"/>
      <c r="GD63" s="947"/>
      <c r="GE63" s="112"/>
      <c r="GF63" s="113"/>
      <c r="GG63" s="533">
        <f>+'Res de Costos Pais'!$G$140</f>
        <v>4.0000000000000001E-3</v>
      </c>
      <c r="GH63" s="464">
        <f t="shared" ref="GH63" si="1858">+GH61*GG63</f>
        <v>3513047.5031988155</v>
      </c>
      <c r="GI63" s="135"/>
      <c r="GM63" s="934">
        <f t="shared" ref="GM63" si="1859">+GH63/GH65</f>
        <v>3.9840637450199202E-3</v>
      </c>
      <c r="GP63" s="1052" t="s">
        <v>1369</v>
      </c>
      <c r="GQ63" s="947"/>
      <c r="GR63" s="947"/>
      <c r="GS63" s="112"/>
      <c r="GT63" s="113"/>
      <c r="GU63" s="533">
        <f>+'Res de Costos Pais'!$G$140</f>
        <v>4.0000000000000001E-3</v>
      </c>
      <c r="GV63" s="464">
        <f t="shared" ref="GV63" si="1860">+GV61*GU63</f>
        <v>2197400.1374659468</v>
      </c>
      <c r="GW63" s="135"/>
      <c r="HA63" s="934">
        <f t="shared" ref="HA63" si="1861">+GV63/GV65</f>
        <v>3.9840637450199202E-3</v>
      </c>
      <c r="HD63" s="1052" t="s">
        <v>1369</v>
      </c>
      <c r="HE63" s="947"/>
      <c r="HF63" s="947"/>
      <c r="HG63" s="112"/>
      <c r="HH63" s="113"/>
      <c r="HI63" s="533">
        <f>+'Res de Costos Pais'!$G$140</f>
        <v>4.0000000000000001E-3</v>
      </c>
      <c r="HJ63" s="464">
        <f t="shared" ref="HJ63" si="1862">+HJ61*HI63</f>
        <v>7058897.4374334281</v>
      </c>
      <c r="HK63" s="135"/>
      <c r="HO63" s="934">
        <f t="shared" ref="HO63" si="1863">+HJ63/HJ65</f>
        <v>3.9840637450199202E-3</v>
      </c>
      <c r="HR63" s="1052" t="s">
        <v>1369</v>
      </c>
      <c r="HS63" s="947"/>
      <c r="HT63" s="947"/>
      <c r="HU63" s="112"/>
      <c r="HV63" s="113"/>
      <c r="HW63" s="533">
        <f>+'Res de Costos Pais'!$G$140</f>
        <v>4.0000000000000001E-3</v>
      </c>
      <c r="HX63" s="464">
        <f t="shared" ref="HX63" si="1864">+HX61*HW63</f>
        <v>2479429.060578974</v>
      </c>
      <c r="HY63" s="135"/>
      <c r="IC63" s="934">
        <f t="shared" ref="IC63" si="1865">+HX63/HX65</f>
        <v>3.9840637450199211E-3</v>
      </c>
      <c r="IF63" s="1052" t="s">
        <v>1369</v>
      </c>
      <c r="IG63" s="947"/>
      <c r="IH63" s="947"/>
      <c r="II63" s="112"/>
      <c r="IJ63" s="113"/>
      <c r="IK63" s="533">
        <f>+'Res de Costos Pais'!$G$140</f>
        <v>4.0000000000000001E-3</v>
      </c>
      <c r="IL63" s="464">
        <f t="shared" ref="IL63" si="1866">+IL61*IK63</f>
        <v>1667747.5469633772</v>
      </c>
      <c r="IM63" s="135"/>
      <c r="IQ63" s="934">
        <f t="shared" ref="IQ63" si="1867">+IL63/IL65</f>
        <v>3.9840637450199202E-3</v>
      </c>
      <c r="IT63" s="1052" t="s">
        <v>1369</v>
      </c>
      <c r="IU63" s="947"/>
      <c r="IV63" s="947"/>
      <c r="IW63" s="112"/>
      <c r="IX63" s="113"/>
      <c r="IY63" s="533">
        <f>+'Res de Costos Pais'!$G$140</f>
        <v>4.0000000000000001E-3</v>
      </c>
      <c r="IZ63" s="464">
        <f t="shared" ref="IZ63" si="1868">+IZ61*IY63</f>
        <v>10370747.851637742</v>
      </c>
      <c r="JA63" s="135"/>
      <c r="JE63" s="934">
        <f t="shared" ref="JE63" si="1869">+IZ63/IZ65</f>
        <v>3.9840637450199202E-3</v>
      </c>
      <c r="JH63" s="1052" t="s">
        <v>1369</v>
      </c>
      <c r="JI63" s="947"/>
      <c r="JJ63" s="947"/>
      <c r="JK63" s="112"/>
      <c r="JL63" s="113"/>
      <c r="JM63" s="533">
        <f>+'Res de Costos Pais'!$G$140</f>
        <v>4.0000000000000001E-3</v>
      </c>
      <c r="JN63" s="464">
        <f t="shared" ref="JN63" si="1870">+JN61*JM63</f>
        <v>12038495.398601117</v>
      </c>
      <c r="JO63" s="135"/>
      <c r="JS63" s="934">
        <f t="shared" ref="JS63" si="1871">+JN63/JN65</f>
        <v>3.9840637450199202E-3</v>
      </c>
      <c r="JV63" s="1052" t="s">
        <v>1369</v>
      </c>
      <c r="JW63" s="947"/>
      <c r="JX63" s="947"/>
      <c r="JY63" s="112"/>
      <c r="JZ63" s="113"/>
      <c r="KA63" s="533">
        <f>+'Res de Costos Pais'!$G$140</f>
        <v>4.0000000000000001E-3</v>
      </c>
      <c r="KB63" s="464">
        <f t="shared" ref="KB63" si="1872">+KB61*KA63</f>
        <v>3494148.2481650114</v>
      </c>
      <c r="KC63" s="135"/>
      <c r="KG63" s="934">
        <f t="shared" ref="KG63" si="1873">+KB63/KB65</f>
        <v>3.9840637450199202E-3</v>
      </c>
      <c r="KJ63" s="1052" t="s">
        <v>1369</v>
      </c>
      <c r="KK63" s="947"/>
      <c r="KL63" s="947"/>
      <c r="KM63" s="112"/>
      <c r="KN63" s="113"/>
      <c r="KO63" s="533">
        <f>+'Res de Costos Pais'!$G$140</f>
        <v>4.0000000000000001E-3</v>
      </c>
      <c r="KP63" s="464">
        <f t="shared" ref="KP63" si="1874">+KP61*KO63</f>
        <v>2101113.3586504851</v>
      </c>
      <c r="KQ63" s="135"/>
      <c r="KU63" s="934">
        <f t="shared" ref="KU63" si="1875">+KP63/KP65</f>
        <v>3.9840637450199202E-3</v>
      </c>
      <c r="KX63" s="1052" t="s">
        <v>1369</v>
      </c>
      <c r="KY63" s="947"/>
      <c r="KZ63" s="947"/>
      <c r="LA63" s="112"/>
      <c r="LB63" s="113"/>
      <c r="LC63" s="533">
        <f>+'Res de Costos Pais'!$G$140</f>
        <v>4.0000000000000001E-3</v>
      </c>
      <c r="LD63" s="464">
        <f t="shared" ref="LD63" si="1876">+LD61*LC63</f>
        <v>1709196.2653599055</v>
      </c>
      <c r="LE63" s="135"/>
      <c r="LI63" s="934">
        <f t="shared" ref="LI63" si="1877">+LD63/LD65</f>
        <v>3.9840637450199211E-3</v>
      </c>
      <c r="LL63" s="1052" t="s">
        <v>1369</v>
      </c>
      <c r="LM63" s="947"/>
      <c r="LN63" s="947"/>
      <c r="LO63" s="112"/>
      <c r="LP63" s="113"/>
      <c r="LQ63" s="533">
        <f>+'Res de Costos Pais'!$G$140</f>
        <v>4.0000000000000001E-3</v>
      </c>
      <c r="LR63" s="464">
        <f t="shared" ref="LR63" si="1878">+LR61*LQ63</f>
        <v>4471852.098862417</v>
      </c>
      <c r="LS63" s="135"/>
      <c r="LW63" s="934">
        <f t="shared" ref="LW63" si="1879">+LR63/LR65</f>
        <v>3.9840637450199202E-3</v>
      </c>
      <c r="LZ63" s="1052" t="s">
        <v>1369</v>
      </c>
      <c r="MA63" s="947"/>
      <c r="MB63" s="947"/>
      <c r="MC63" s="112"/>
      <c r="MD63" s="113"/>
      <c r="ME63" s="533">
        <f>+'Res de Costos Pais'!$G$140</f>
        <v>4.0000000000000001E-3</v>
      </c>
      <c r="MF63" s="464">
        <f t="shared" ref="MF63" si="1880">+MF61*ME63</f>
        <v>4435800.999135904</v>
      </c>
      <c r="MG63" s="135"/>
      <c r="MK63" s="934">
        <f t="shared" ref="MK63" si="1881">+MF63/MF65</f>
        <v>3.9840637450199194E-3</v>
      </c>
      <c r="MN63" s="1052" t="s">
        <v>1369</v>
      </c>
      <c r="MO63" s="947"/>
      <c r="MP63" s="947"/>
      <c r="MQ63" s="112"/>
      <c r="MR63" s="113"/>
      <c r="MS63" s="533">
        <f>+'Res de Costos Pais'!$G$140</f>
        <v>4.0000000000000001E-3</v>
      </c>
      <c r="MT63" s="464">
        <f t="shared" ref="MT63" si="1882">+MT61*MS63</f>
        <v>4539032.7524033394</v>
      </c>
      <c r="MU63" s="135"/>
      <c r="MY63" s="934">
        <f t="shared" ref="MY63" si="1883">+MT63/MT65</f>
        <v>3.9840637450199202E-3</v>
      </c>
      <c r="NB63" s="1052" t="s">
        <v>1369</v>
      </c>
      <c r="NC63" s="947"/>
      <c r="ND63" s="947"/>
      <c r="NE63" s="112"/>
      <c r="NF63" s="113"/>
      <c r="NG63" s="533">
        <f>+'Res de Costos Pais'!$G$140</f>
        <v>4.0000000000000001E-3</v>
      </c>
      <c r="NH63" s="464">
        <f t="shared" ref="NH63" si="1884">+NH61*NG63</f>
        <v>8686799.2458938733</v>
      </c>
      <c r="NI63" s="135"/>
      <c r="NM63" s="934">
        <f t="shared" ref="NM63" si="1885">+NH63/NH65</f>
        <v>3.9840637450199202E-3</v>
      </c>
      <c r="NP63" s="1052" t="s">
        <v>1369</v>
      </c>
      <c r="NQ63" s="947"/>
      <c r="NR63" s="947"/>
      <c r="NS63" s="112"/>
      <c r="NT63" s="113"/>
      <c r="NU63" s="533">
        <f>+'Res de Costos Pais'!$G$140</f>
        <v>4.0000000000000001E-3</v>
      </c>
      <c r="NV63" s="464">
        <f t="shared" ref="NV63" si="1886">+NV61*NU63</f>
        <v>1382837.7287770079</v>
      </c>
      <c r="NW63" s="135"/>
      <c r="OA63" s="934">
        <f t="shared" ref="OA63" si="1887">+NV63/NV65</f>
        <v>3.9840637450199211E-3</v>
      </c>
      <c r="OD63" s="1052" t="s">
        <v>1369</v>
      </c>
      <c r="OE63" s="947"/>
      <c r="OF63" s="947"/>
      <c r="OG63" s="112"/>
      <c r="OH63" s="113"/>
      <c r="OI63" s="533">
        <f>+'Res de Costos Pais'!$G$140</f>
        <v>4.0000000000000001E-3</v>
      </c>
      <c r="OJ63" s="464">
        <f t="shared" ref="OJ63" si="1888">+OJ61*OI63</f>
        <v>1802225.5071335947</v>
      </c>
      <c r="OK63" s="135"/>
      <c r="OO63" s="934">
        <f t="shared" ref="OO63" si="1889">+OJ63/OJ65</f>
        <v>3.9840637450199202E-3</v>
      </c>
      <c r="OR63" s="1052" t="s">
        <v>1369</v>
      </c>
      <c r="OS63" s="947"/>
      <c r="OT63" s="947"/>
      <c r="OU63" s="112"/>
      <c r="OV63" s="113"/>
      <c r="OW63" s="533">
        <f>+'Res de Costos Pais'!$G$140</f>
        <v>4.0000000000000001E-3</v>
      </c>
      <c r="OX63" s="464">
        <f t="shared" ref="OX63" si="1890">+OX61*OW63</f>
        <v>2276905.7242627228</v>
      </c>
      <c r="OY63" s="135"/>
      <c r="PC63" s="934">
        <f t="shared" ref="PC63" si="1891">+OX63/OX65</f>
        <v>3.9840637450199211E-3</v>
      </c>
      <c r="PF63" s="1052" t="s">
        <v>1369</v>
      </c>
      <c r="PG63" s="947"/>
      <c r="PH63" s="947"/>
      <c r="PI63" s="112"/>
      <c r="PJ63" s="113"/>
      <c r="PK63" s="533">
        <f>+'Res de Costos Pais'!$G$140</f>
        <v>4.0000000000000001E-3</v>
      </c>
      <c r="PL63" s="464">
        <f t="shared" ref="PL63" si="1892">+PL61*PK63</f>
        <v>579008.08297476301</v>
      </c>
      <c r="PM63" s="135"/>
      <c r="PQ63" s="934">
        <f t="shared" ref="PQ63" si="1893">+PL63/PL65</f>
        <v>3.9840637450199202E-3</v>
      </c>
      <c r="PT63" s="1052" t="s">
        <v>1369</v>
      </c>
      <c r="PU63" s="947"/>
      <c r="PV63" s="947"/>
      <c r="PW63" s="112"/>
      <c r="PX63" s="113"/>
      <c r="PY63" s="533">
        <f>+'Res de Costos Pais'!$G$140</f>
        <v>4.0000000000000001E-3</v>
      </c>
      <c r="PZ63" s="464">
        <f t="shared" ref="PZ63" si="1894">+PZ61*PY63</f>
        <v>893550.11828868475</v>
      </c>
      <c r="QA63" s="135"/>
      <c r="QE63" s="934">
        <f t="shared" ref="QE63" si="1895">+PZ63/PZ65</f>
        <v>3.9840637450199202E-3</v>
      </c>
      <c r="QH63" s="1052" t="s">
        <v>1369</v>
      </c>
      <c r="QI63" s="947"/>
      <c r="QJ63" s="947"/>
      <c r="QK63" s="112"/>
      <c r="QL63" s="113"/>
      <c r="QM63" s="533">
        <f>+'Res de Costos Pais'!$G$140</f>
        <v>4.0000000000000001E-3</v>
      </c>
      <c r="QN63" s="464">
        <f t="shared" ref="QN63" si="1896">+QN61*QM63</f>
        <v>334364.27773060161</v>
      </c>
      <c r="QO63" s="135"/>
      <c r="QS63" s="934">
        <f t="shared" ref="QS63" si="1897">+QN63/QN65</f>
        <v>3.9840637450199202E-3</v>
      </c>
      <c r="QV63" s="1052" t="s">
        <v>1369</v>
      </c>
      <c r="QW63" s="947"/>
      <c r="QX63" s="947"/>
      <c r="QY63" s="112"/>
      <c r="QZ63" s="113"/>
      <c r="RA63" s="533">
        <f>+'Res de Costos Pais'!$G$140</f>
        <v>4.0000000000000001E-3</v>
      </c>
      <c r="RB63" s="464">
        <f t="shared" ref="RB63" si="1898">+RB61*RA63</f>
        <v>753753.65814916394</v>
      </c>
      <c r="RC63" s="135"/>
      <c r="RG63" s="934">
        <f t="shared" ref="RG63" si="1899">+RB63/RB65</f>
        <v>3.9840637450199202E-3</v>
      </c>
      <c r="RJ63" s="1052" t="s">
        <v>1369</v>
      </c>
      <c r="RK63" s="947"/>
      <c r="RL63" s="947"/>
      <c r="RM63" s="112"/>
      <c r="RN63" s="113"/>
      <c r="RO63" s="533">
        <f>+'Res de Costos Pais'!$G$140</f>
        <v>4.0000000000000001E-3</v>
      </c>
      <c r="RP63" s="464">
        <f t="shared" ref="RP63" si="1900">+RP61*RO63</f>
        <v>335262.56781557639</v>
      </c>
      <c r="RQ63" s="135"/>
      <c r="RU63" s="934">
        <f t="shared" ref="RU63" si="1901">+RP63/RP65</f>
        <v>3.9840637450199211E-3</v>
      </c>
      <c r="RX63" s="1052" t="s">
        <v>1369</v>
      </c>
      <c r="RY63" s="947"/>
      <c r="RZ63" s="947"/>
      <c r="SA63" s="112"/>
      <c r="SB63" s="113"/>
      <c r="SC63" s="533">
        <f>+'Res de Costos Pais'!$G$140</f>
        <v>4.0000000000000001E-3</v>
      </c>
      <c r="SD63" s="464">
        <f t="shared" ref="SD63" si="1902">+SD61*SC63</f>
        <v>509109.8529050026</v>
      </c>
      <c r="SE63" s="135"/>
      <c r="SI63" s="934">
        <f t="shared" ref="SI63" si="1903">+SD63/SD65</f>
        <v>3.9840637450199202E-3</v>
      </c>
      <c r="SL63" s="1052" t="s">
        <v>1369</v>
      </c>
      <c r="SM63" s="947"/>
      <c r="SN63" s="947"/>
      <c r="SO63" s="112"/>
      <c r="SP63" s="113"/>
      <c r="SQ63" s="533">
        <f>+'Res de Costos Pais'!$G$140</f>
        <v>4.0000000000000001E-3</v>
      </c>
      <c r="SR63" s="464">
        <f t="shared" ref="SR63" si="1904">+SR61*SQ63</f>
        <v>0</v>
      </c>
      <c r="SS63" s="135"/>
      <c r="SW63" s="934">
        <f>IF(ISERROR((+SR63/SR65)),0,(+SR63/SR65))</f>
        <v>0</v>
      </c>
      <c r="SZ63" s="912" t="s">
        <v>1369</v>
      </c>
      <c r="TA63" s="947"/>
      <c r="TB63" s="947"/>
      <c r="TC63" s="112"/>
      <c r="TD63" s="113"/>
      <c r="TE63" s="533">
        <f>+'Res de Costos Pais'!$G$140</f>
        <v>4.0000000000000001E-3</v>
      </c>
      <c r="TF63" s="464">
        <f t="shared" ref="TF63" si="1905">+TF61*TE63</f>
        <v>129367622.68776457</v>
      </c>
      <c r="TG63" s="135"/>
      <c r="TK63" s="934">
        <f t="shared" ref="TK63" si="1906">+TF63/TF65</f>
        <v>3.9840637450199202E-3</v>
      </c>
    </row>
    <row r="64" spans="2:532" ht="9" customHeight="1" thickBot="1"/>
    <row r="65" spans="1:531" ht="15.75" customHeight="1" thickBot="1">
      <c r="B65" s="1201" t="s">
        <v>2334</v>
      </c>
      <c r="C65" s="1202"/>
      <c r="D65" s="1202"/>
      <c r="E65" s="112"/>
      <c r="F65" s="113"/>
      <c r="G65" s="533"/>
      <c r="H65" s="464">
        <f>+H61+H63</f>
        <v>2919168283.6905222</v>
      </c>
      <c r="I65" s="135"/>
      <c r="M65" s="934">
        <f>+SUM(M16:M63)</f>
        <v>0.99999999999999967</v>
      </c>
      <c r="P65" s="1201" t="s">
        <v>2334</v>
      </c>
      <c r="Q65" s="1202"/>
      <c r="R65" s="1202"/>
      <c r="S65" s="112"/>
      <c r="T65" s="113"/>
      <c r="U65" s="533"/>
      <c r="V65" s="464">
        <f t="shared" ref="V65" si="1907">+V61+V63</f>
        <v>686369382.79620457</v>
      </c>
      <c r="W65" s="135"/>
      <c r="AA65" s="934">
        <f t="shared" ref="AA65" si="1908">+SUM(AA16:AA63)</f>
        <v>0.99999999999999989</v>
      </c>
      <c r="AD65" s="1201" t="s">
        <v>2334</v>
      </c>
      <c r="AE65" s="1202"/>
      <c r="AF65" s="1202"/>
      <c r="AG65" s="112"/>
      <c r="AH65" s="113"/>
      <c r="AI65" s="533"/>
      <c r="AJ65" s="464">
        <f t="shared" ref="AJ65" si="1909">+AJ61+AJ63</f>
        <v>3605537666.4867263</v>
      </c>
      <c r="AK65" s="135"/>
      <c r="AO65" s="934">
        <f t="shared" ref="AO65" si="1910">+SUM(AO16:AO63)</f>
        <v>0.99999999999999978</v>
      </c>
      <c r="AR65" s="1201" t="s">
        <v>2334</v>
      </c>
      <c r="AS65" s="1202"/>
      <c r="AT65" s="1202"/>
      <c r="AU65" s="112"/>
      <c r="AV65" s="113"/>
      <c r="AW65" s="533"/>
      <c r="AX65" s="464">
        <f t="shared" ref="AX65" si="1911">+AX61+AX63</f>
        <v>1040995442.5322738</v>
      </c>
      <c r="AY65" s="135"/>
      <c r="BC65" s="934">
        <f t="shared" ref="BC65" si="1912">+SUM(BC16:BC63)</f>
        <v>1.0000000000000002</v>
      </c>
      <c r="BF65" s="1201" t="s">
        <v>2334</v>
      </c>
      <c r="BG65" s="1202"/>
      <c r="BH65" s="1202"/>
      <c r="BI65" s="112"/>
      <c r="BJ65" s="113"/>
      <c r="BK65" s="533"/>
      <c r="BL65" s="464">
        <f t="shared" ref="BL65" si="1913">+BL61+BL63</f>
        <v>1493436744.1000128</v>
      </c>
      <c r="BM65" s="135"/>
      <c r="BQ65" s="934">
        <f t="shared" ref="BQ65" si="1914">+SUM(BQ16:BQ63)</f>
        <v>0.99999999999999967</v>
      </c>
      <c r="BT65" s="1201" t="s">
        <v>2334</v>
      </c>
      <c r="BU65" s="1202"/>
      <c r="BV65" s="1202"/>
      <c r="BW65" s="112"/>
      <c r="BX65" s="113"/>
      <c r="BY65" s="533"/>
      <c r="BZ65" s="464">
        <f t="shared" ref="BZ65:ED65" si="1915">+BZ61+BZ63</f>
        <v>1277662073.4214165</v>
      </c>
      <c r="CA65" s="135"/>
      <c r="CE65" s="934">
        <f t="shared" ref="CE65:EI65" si="1916">+SUM(CE16:CE63)</f>
        <v>0.99999999999999989</v>
      </c>
      <c r="CH65" s="1201" t="s">
        <v>2334</v>
      </c>
      <c r="CI65" s="1202"/>
      <c r="CJ65" s="1202"/>
      <c r="CK65" s="112"/>
      <c r="CL65" s="113"/>
      <c r="CM65" s="533"/>
      <c r="CN65" s="464">
        <f t="shared" si="1915"/>
        <v>1277128426.1995902</v>
      </c>
      <c r="CO65" s="135"/>
      <c r="CS65" s="934">
        <f t="shared" si="1916"/>
        <v>0.99999999999999989</v>
      </c>
      <c r="CV65" s="1201" t="s">
        <v>2334</v>
      </c>
      <c r="CW65" s="1202"/>
      <c r="CX65" s="1202"/>
      <c r="CY65" s="112"/>
      <c r="CZ65" s="113"/>
      <c r="DA65" s="533"/>
      <c r="DB65" s="464">
        <f t="shared" si="1915"/>
        <v>700504762.07336676</v>
      </c>
      <c r="DC65" s="135"/>
      <c r="DG65" s="934">
        <f t="shared" si="1916"/>
        <v>0.99999999999999989</v>
      </c>
      <c r="DJ65" s="1201" t="s">
        <v>2334</v>
      </c>
      <c r="DK65" s="1202"/>
      <c r="DL65" s="1202"/>
      <c r="DM65" s="112"/>
      <c r="DN65" s="113"/>
      <c r="DO65" s="533"/>
      <c r="DP65" s="464">
        <f t="shared" si="1915"/>
        <v>1424118817.8171329</v>
      </c>
      <c r="DQ65" s="135"/>
      <c r="DU65" s="934">
        <f t="shared" si="1916"/>
        <v>0.99999999999999989</v>
      </c>
      <c r="DX65" s="1201" t="s">
        <v>2334</v>
      </c>
      <c r="DY65" s="1202"/>
      <c r="DZ65" s="1202"/>
      <c r="EA65" s="112"/>
      <c r="EB65" s="113"/>
      <c r="EC65" s="533"/>
      <c r="ED65" s="464">
        <f t="shared" si="1915"/>
        <v>1022897790.4695642</v>
      </c>
      <c r="EE65" s="135"/>
      <c r="EI65" s="934">
        <f t="shared" si="1916"/>
        <v>1</v>
      </c>
      <c r="EL65" s="1201" t="s">
        <v>2334</v>
      </c>
      <c r="EM65" s="1202"/>
      <c r="EN65" s="1202"/>
      <c r="EO65" s="112"/>
      <c r="EP65" s="113"/>
      <c r="EQ65" s="533"/>
      <c r="ER65" s="464">
        <f t="shared" ref="ER65:GV65" si="1917">+ER61+ER63</f>
        <v>1457241439.9745932</v>
      </c>
      <c r="ES65" s="135"/>
      <c r="EW65" s="934">
        <f t="shared" ref="EW65:HA65" si="1918">+SUM(EW16:EW63)</f>
        <v>1</v>
      </c>
      <c r="EZ65" s="1201" t="s">
        <v>2334</v>
      </c>
      <c r="FA65" s="1202"/>
      <c r="FB65" s="1202"/>
      <c r="FC65" s="112"/>
      <c r="FD65" s="113"/>
      <c r="FE65" s="533"/>
      <c r="FF65" s="464">
        <f t="shared" si="1917"/>
        <v>1567567866.7066848</v>
      </c>
      <c r="FG65" s="135"/>
      <c r="FK65" s="934">
        <f t="shared" si="1918"/>
        <v>1.0000000000000002</v>
      </c>
      <c r="FN65" s="1201" t="s">
        <v>2334</v>
      </c>
      <c r="FO65" s="1202"/>
      <c r="FP65" s="1202"/>
      <c r="FQ65" s="112"/>
      <c r="FR65" s="113"/>
      <c r="FS65" s="533"/>
      <c r="FT65" s="464">
        <f t="shared" si="1917"/>
        <v>1140532528.8771765</v>
      </c>
      <c r="FU65" s="135"/>
      <c r="FY65" s="934">
        <f t="shared" si="1918"/>
        <v>0.99999999999999967</v>
      </c>
      <c r="GB65" s="1201" t="s">
        <v>2334</v>
      </c>
      <c r="GC65" s="1202"/>
      <c r="GD65" s="1202"/>
      <c r="GE65" s="112"/>
      <c r="GF65" s="113"/>
      <c r="GG65" s="533"/>
      <c r="GH65" s="464">
        <f t="shared" si="1917"/>
        <v>881774923.3029027</v>
      </c>
      <c r="GI65" s="135"/>
      <c r="GM65" s="934">
        <f t="shared" si="1918"/>
        <v>1</v>
      </c>
      <c r="GP65" s="1201" t="s">
        <v>2334</v>
      </c>
      <c r="GQ65" s="1202"/>
      <c r="GR65" s="1202"/>
      <c r="GS65" s="112"/>
      <c r="GT65" s="113"/>
      <c r="GU65" s="533"/>
      <c r="GV65" s="464">
        <f t="shared" si="1917"/>
        <v>551547434.50395262</v>
      </c>
      <c r="GW65" s="135"/>
      <c r="HA65" s="934">
        <f t="shared" si="1918"/>
        <v>1.0000000000000002</v>
      </c>
      <c r="HD65" s="1201" t="s">
        <v>2334</v>
      </c>
      <c r="HE65" s="1202"/>
      <c r="HF65" s="1202"/>
      <c r="HG65" s="112"/>
      <c r="HH65" s="113"/>
      <c r="HI65" s="533"/>
      <c r="HJ65" s="464">
        <f t="shared" ref="HJ65:KB65" si="1919">+HJ61+HJ63</f>
        <v>1771783256.7957904</v>
      </c>
      <c r="HK65" s="135"/>
      <c r="HO65" s="934">
        <f t="shared" ref="HO65:KG65" si="1920">+SUM(HO16:HO63)</f>
        <v>0.99999999999999989</v>
      </c>
      <c r="HR65" s="1201" t="s">
        <v>2334</v>
      </c>
      <c r="HS65" s="1202"/>
      <c r="HT65" s="1202"/>
      <c r="HU65" s="112"/>
      <c r="HV65" s="113"/>
      <c r="HW65" s="533"/>
      <c r="HX65" s="464">
        <f t="shared" si="1919"/>
        <v>622336694.20532238</v>
      </c>
      <c r="HY65" s="135"/>
      <c r="IC65" s="934">
        <f t="shared" si="1920"/>
        <v>1.0000000000000004</v>
      </c>
      <c r="IF65" s="1201" t="s">
        <v>2334</v>
      </c>
      <c r="IG65" s="1202"/>
      <c r="IH65" s="1202"/>
      <c r="II65" s="112"/>
      <c r="IJ65" s="113"/>
      <c r="IK65" s="533"/>
      <c r="IL65" s="464">
        <f t="shared" si="1919"/>
        <v>418604634.2878077</v>
      </c>
      <c r="IM65" s="135"/>
      <c r="IQ65" s="934">
        <f t="shared" si="1920"/>
        <v>1</v>
      </c>
      <c r="IT65" s="1201" t="s">
        <v>2334</v>
      </c>
      <c r="IU65" s="1202"/>
      <c r="IV65" s="1202"/>
      <c r="IW65" s="112"/>
      <c r="IX65" s="113"/>
      <c r="IY65" s="533"/>
      <c r="IZ65" s="464">
        <f t="shared" si="1919"/>
        <v>2603057710.7610731</v>
      </c>
      <c r="JA65" s="135"/>
      <c r="JE65" s="934">
        <f t="shared" si="1920"/>
        <v>0.99999999999999967</v>
      </c>
      <c r="JH65" s="1201" t="s">
        <v>2334</v>
      </c>
      <c r="JI65" s="1202"/>
      <c r="JJ65" s="1202"/>
      <c r="JK65" s="112"/>
      <c r="JL65" s="113"/>
      <c r="JM65" s="533"/>
      <c r="JN65" s="464">
        <f t="shared" ref="JN65" si="1921">+JN61+JN63</f>
        <v>3021662345.0488801</v>
      </c>
      <c r="JO65" s="135"/>
      <c r="JS65" s="934">
        <f t="shared" ref="JS65" si="1922">+SUM(JS16:JS63)</f>
        <v>1</v>
      </c>
      <c r="JV65" s="1201" t="s">
        <v>2334</v>
      </c>
      <c r="JW65" s="1202"/>
      <c r="JX65" s="1202"/>
      <c r="JY65" s="112"/>
      <c r="JZ65" s="113"/>
      <c r="KA65" s="533"/>
      <c r="KB65" s="464">
        <f t="shared" si="1919"/>
        <v>877031210.28941786</v>
      </c>
      <c r="KC65" s="135"/>
      <c r="KG65" s="934">
        <f t="shared" si="1920"/>
        <v>1.0000000000000002</v>
      </c>
      <c r="KJ65" s="1201" t="s">
        <v>2334</v>
      </c>
      <c r="KK65" s="1202"/>
      <c r="KL65" s="1202"/>
      <c r="KM65" s="112"/>
      <c r="KN65" s="113"/>
      <c r="KO65" s="533"/>
      <c r="KP65" s="464">
        <f t="shared" ref="KP65:MT65" si="1923">+KP61+KP63</f>
        <v>527379453.02127171</v>
      </c>
      <c r="KQ65" s="135"/>
      <c r="KU65" s="934">
        <f t="shared" ref="KU65:MY65" si="1924">+SUM(KU16:KU63)</f>
        <v>1.0000000000000002</v>
      </c>
      <c r="KX65" s="1201" t="s">
        <v>2334</v>
      </c>
      <c r="KY65" s="1202"/>
      <c r="KZ65" s="1202"/>
      <c r="LA65" s="112"/>
      <c r="LB65" s="113"/>
      <c r="LC65" s="533"/>
      <c r="LD65" s="464">
        <f t="shared" si="1923"/>
        <v>429008262.60533625</v>
      </c>
      <c r="LE65" s="135"/>
      <c r="LI65" s="934">
        <f t="shared" si="1924"/>
        <v>1.0000000000000002</v>
      </c>
      <c r="LL65" s="1201" t="s">
        <v>2334</v>
      </c>
      <c r="LM65" s="1202"/>
      <c r="LN65" s="1202"/>
      <c r="LO65" s="112"/>
      <c r="LP65" s="113"/>
      <c r="LQ65" s="533"/>
      <c r="LR65" s="464">
        <f t="shared" si="1923"/>
        <v>1122434876.8144667</v>
      </c>
      <c r="LS65" s="135"/>
      <c r="LW65" s="934">
        <f t="shared" si="1924"/>
        <v>1</v>
      </c>
      <c r="LZ65" s="1201" t="s">
        <v>2334</v>
      </c>
      <c r="MA65" s="1202"/>
      <c r="MB65" s="1202"/>
      <c r="MC65" s="112"/>
      <c r="MD65" s="113"/>
      <c r="ME65" s="533"/>
      <c r="MF65" s="464">
        <f t="shared" si="1923"/>
        <v>1113386050.783112</v>
      </c>
      <c r="MG65" s="135"/>
      <c r="MK65" s="934">
        <f t="shared" si="1924"/>
        <v>0.99999999999999989</v>
      </c>
      <c r="MN65" s="1201" t="s">
        <v>2334</v>
      </c>
      <c r="MO65" s="1202"/>
      <c r="MP65" s="1202"/>
      <c r="MQ65" s="112"/>
      <c r="MR65" s="113"/>
      <c r="MS65" s="533"/>
      <c r="MT65" s="464">
        <f t="shared" si="1923"/>
        <v>1139297220.8532381</v>
      </c>
      <c r="MU65" s="135"/>
      <c r="MY65" s="934">
        <f t="shared" si="1924"/>
        <v>0.99999999999999989</v>
      </c>
      <c r="NB65" s="1201" t="s">
        <v>2334</v>
      </c>
      <c r="NC65" s="1202"/>
      <c r="ND65" s="1202"/>
      <c r="NE65" s="112"/>
      <c r="NF65" s="113"/>
      <c r="NG65" s="533"/>
      <c r="NH65" s="464">
        <f t="shared" ref="NH65:PL65" si="1925">+NH61+NH63</f>
        <v>2180386610.7193623</v>
      </c>
      <c r="NI65" s="135"/>
      <c r="NM65" s="934">
        <f t="shared" ref="NM65:PQ65" si="1926">+SUM(NM16:NM63)</f>
        <v>1.0000000000000002</v>
      </c>
      <c r="NP65" s="1201" t="s">
        <v>2334</v>
      </c>
      <c r="NQ65" s="1202"/>
      <c r="NR65" s="1202"/>
      <c r="NS65" s="112"/>
      <c r="NT65" s="113"/>
      <c r="NU65" s="533"/>
      <c r="NV65" s="464">
        <f t="shared" si="1925"/>
        <v>347092269.92302895</v>
      </c>
      <c r="NW65" s="135"/>
      <c r="OA65" s="934">
        <f t="shared" si="1926"/>
        <v>1</v>
      </c>
      <c r="OD65" s="1201" t="s">
        <v>2334</v>
      </c>
      <c r="OE65" s="1202"/>
      <c r="OF65" s="1202"/>
      <c r="OG65" s="112"/>
      <c r="OH65" s="113"/>
      <c r="OI65" s="533"/>
      <c r="OJ65" s="464">
        <f t="shared" si="1925"/>
        <v>452358602.29053229</v>
      </c>
      <c r="OK65" s="135"/>
      <c r="OO65" s="934">
        <f t="shared" si="1926"/>
        <v>1</v>
      </c>
      <c r="OR65" s="1201" t="s">
        <v>2334</v>
      </c>
      <c r="OS65" s="1202"/>
      <c r="OT65" s="1202"/>
      <c r="OU65" s="112"/>
      <c r="OV65" s="113"/>
      <c r="OW65" s="533"/>
      <c r="OX65" s="464">
        <f t="shared" si="1925"/>
        <v>571503336.78994334</v>
      </c>
      <c r="OY65" s="135"/>
      <c r="PC65" s="934">
        <f t="shared" si="1926"/>
        <v>1.0000000000000002</v>
      </c>
      <c r="PF65" s="1201" t="s">
        <v>2334</v>
      </c>
      <c r="PG65" s="1202"/>
      <c r="PH65" s="1202"/>
      <c r="PI65" s="112"/>
      <c r="PJ65" s="113"/>
      <c r="PK65" s="533"/>
      <c r="PL65" s="464">
        <f t="shared" si="1925"/>
        <v>145331028.82666552</v>
      </c>
      <c r="PM65" s="135"/>
      <c r="PQ65" s="934">
        <f t="shared" si="1926"/>
        <v>0.99999999999999989</v>
      </c>
      <c r="PT65" s="1201" t="s">
        <v>2334</v>
      </c>
      <c r="PU65" s="1202"/>
      <c r="PV65" s="1202"/>
      <c r="PW65" s="112"/>
      <c r="PX65" s="113"/>
      <c r="PY65" s="533"/>
      <c r="PZ65" s="464">
        <f t="shared" ref="PZ65:SD65" si="1927">+PZ61+PZ63</f>
        <v>224281079.69045988</v>
      </c>
      <c r="QA65" s="135"/>
      <c r="QE65" s="934">
        <f t="shared" ref="QE65:SI65" si="1928">+SUM(QE16:QE63)</f>
        <v>1</v>
      </c>
      <c r="QH65" s="1201" t="s">
        <v>2334</v>
      </c>
      <c r="QI65" s="1202"/>
      <c r="QJ65" s="1202"/>
      <c r="QK65" s="112"/>
      <c r="QL65" s="113"/>
      <c r="QM65" s="533"/>
      <c r="QN65" s="464">
        <f t="shared" si="1927"/>
        <v>83925433.710381001</v>
      </c>
      <c r="QO65" s="135"/>
      <c r="QS65" s="934">
        <f t="shared" si="1928"/>
        <v>1</v>
      </c>
      <c r="QV65" s="1201" t="s">
        <v>2334</v>
      </c>
      <c r="QW65" s="1202"/>
      <c r="QX65" s="1202"/>
      <c r="QY65" s="112"/>
      <c r="QZ65" s="113"/>
      <c r="RA65" s="533"/>
      <c r="RB65" s="464">
        <f t="shared" si="1927"/>
        <v>189192168.19544014</v>
      </c>
      <c r="RC65" s="135"/>
      <c r="RG65" s="934">
        <f t="shared" si="1928"/>
        <v>1.0000000000000002</v>
      </c>
      <c r="RJ65" s="1201" t="s">
        <v>2334</v>
      </c>
      <c r="RK65" s="1202"/>
      <c r="RL65" s="1202"/>
      <c r="RM65" s="112"/>
      <c r="RN65" s="113"/>
      <c r="RO65" s="533"/>
      <c r="RP65" s="464">
        <f t="shared" si="1927"/>
        <v>84150904.521709666</v>
      </c>
      <c r="RQ65" s="135"/>
      <c r="RU65" s="934">
        <f t="shared" si="1928"/>
        <v>1.0000000000000002</v>
      </c>
      <c r="RX65" s="1201" t="s">
        <v>2334</v>
      </c>
      <c r="RY65" s="1202"/>
      <c r="RZ65" s="1202"/>
      <c r="SA65" s="112"/>
      <c r="SB65" s="113"/>
      <c r="SC65" s="533"/>
      <c r="SD65" s="464">
        <f t="shared" si="1927"/>
        <v>127786573.07915565</v>
      </c>
      <c r="SE65" s="135"/>
      <c r="SI65" s="934">
        <f t="shared" si="1928"/>
        <v>1.0000000000000002</v>
      </c>
      <c r="SL65" s="1201" t="s">
        <v>2334</v>
      </c>
      <c r="SM65" s="1202"/>
      <c r="SN65" s="1202"/>
      <c r="SO65" s="112"/>
      <c r="SP65" s="113"/>
      <c r="SQ65" s="533"/>
      <c r="SR65" s="464">
        <f t="shared" ref="SR65" si="1929">+SR61+SR63</f>
        <v>0</v>
      </c>
      <c r="SS65" s="135"/>
      <c r="SW65" s="934">
        <f>IF(ISERROR((+SUM(SW16:SW63))),0,(+SUM(SW16:SW63)))</f>
        <v>0</v>
      </c>
      <c r="SZ65" s="1201" t="s">
        <v>2334</v>
      </c>
      <c r="TA65" s="1202"/>
      <c r="TB65" s="1202"/>
      <c r="TC65" s="112"/>
      <c r="TD65" s="113"/>
      <c r="TE65" s="533"/>
      <c r="TF65" s="464">
        <f t="shared" ref="TF65" si="1930">+TF61+TF63</f>
        <v>32471273294.628906</v>
      </c>
      <c r="TG65" s="135"/>
      <c r="TK65" s="934">
        <f t="shared" ref="TK65" si="1931">+SUM(TK16:TK63)</f>
        <v>0.99999999999999989</v>
      </c>
    </row>
    <row r="66" spans="1:531" ht="15.75" customHeight="1" thickBot="1">
      <c r="A66" s="105">
        <v>8</v>
      </c>
      <c r="B66" s="1201" t="s">
        <v>2359</v>
      </c>
      <c r="C66" s="1202"/>
      <c r="D66" s="1202"/>
      <c r="E66" s="112"/>
      <c r="F66" s="113"/>
      <c r="G66" s="533"/>
      <c r="H66" s="464">
        <f>+VLOOKUP(B13,'Cost x Depart'!$A$1:$AL$1275,'Res de Costos X Dept'!A66,0)</f>
        <v>15600</v>
      </c>
      <c r="I66" s="135"/>
      <c r="O66" s="105">
        <v>8</v>
      </c>
      <c r="P66" s="1201" t="s">
        <v>2359</v>
      </c>
      <c r="Q66" s="1202"/>
      <c r="R66" s="1202"/>
      <c r="S66" s="112"/>
      <c r="T66" s="113"/>
      <c r="U66" s="533"/>
      <c r="V66" s="464">
        <f>+VLOOKUP(P13,'Cost x Depart'!$A$1:$AL$1275,'Res de Costos X Dept'!O66,0)</f>
        <v>3600</v>
      </c>
      <c r="W66" s="135"/>
      <c r="AC66" s="105">
        <v>8</v>
      </c>
      <c r="AD66" s="1201" t="s">
        <v>2359</v>
      </c>
      <c r="AE66" s="1202"/>
      <c r="AF66" s="1202"/>
      <c r="AG66" s="112"/>
      <c r="AH66" s="113"/>
      <c r="AI66" s="533"/>
      <c r="AJ66" s="464">
        <f>+V66+H66</f>
        <v>19200</v>
      </c>
      <c r="AK66" s="135"/>
      <c r="AQ66" s="105">
        <v>8</v>
      </c>
      <c r="AR66" s="1201" t="s">
        <v>2359</v>
      </c>
      <c r="AS66" s="1202"/>
      <c r="AT66" s="1202"/>
      <c r="AU66" s="112"/>
      <c r="AV66" s="113"/>
      <c r="AW66" s="533"/>
      <c r="AX66" s="464">
        <f>+VLOOKUP(AR13,'Cost x Depart'!$A$1:$AL$1275,'Res de Costos X Dept'!AQ66,0)</f>
        <v>5600</v>
      </c>
      <c r="AY66" s="135"/>
      <c r="BE66" s="105">
        <v>8</v>
      </c>
      <c r="BF66" s="1201" t="s">
        <v>2359</v>
      </c>
      <c r="BG66" s="1202"/>
      <c r="BH66" s="1202"/>
      <c r="BI66" s="112"/>
      <c r="BJ66" s="113"/>
      <c r="BK66" s="533"/>
      <c r="BL66" s="464">
        <f>+VLOOKUP(BF13,'Cost x Depart'!$A$1:$AL$1275,'Res de Costos X Dept'!BE66,0)</f>
        <v>8100</v>
      </c>
      <c r="BM66" s="135"/>
      <c r="BS66" s="105">
        <v>8</v>
      </c>
      <c r="BT66" s="1201" t="s">
        <v>2359</v>
      </c>
      <c r="BU66" s="1202"/>
      <c r="BV66" s="1202"/>
      <c r="BW66" s="112"/>
      <c r="BX66" s="113"/>
      <c r="BY66" s="533"/>
      <c r="BZ66" s="464">
        <f>+VLOOKUP(BT13,'Cost x Depart'!$A$1:$AL$1275,'Res de Costos X Dept'!BS66,0)</f>
        <v>7000</v>
      </c>
      <c r="CA66" s="135"/>
      <c r="CG66" s="105">
        <v>8</v>
      </c>
      <c r="CH66" s="1201" t="s">
        <v>2359</v>
      </c>
      <c r="CI66" s="1202"/>
      <c r="CJ66" s="1202"/>
      <c r="CK66" s="112"/>
      <c r="CL66" s="113"/>
      <c r="CM66" s="533"/>
      <c r="CN66" s="464">
        <f>+VLOOKUP(CH13,'Cost x Depart'!$A$1:$AL$1275,'Res de Costos X Dept'!CG66,0)</f>
        <v>7100</v>
      </c>
      <c r="CO66" s="135"/>
      <c r="CU66" s="105">
        <v>8</v>
      </c>
      <c r="CV66" s="1201" t="s">
        <v>2359</v>
      </c>
      <c r="CW66" s="1202"/>
      <c r="CX66" s="1202"/>
      <c r="CY66" s="112"/>
      <c r="CZ66" s="113"/>
      <c r="DA66" s="533"/>
      <c r="DB66" s="464">
        <f>+VLOOKUP(CV13,'Cost x Depart'!$A$1:$AL$1275,'Res de Costos X Dept'!CU66,0)</f>
        <v>3800</v>
      </c>
      <c r="DC66" s="135"/>
      <c r="DI66" s="105">
        <v>8</v>
      </c>
      <c r="DJ66" s="1201" t="s">
        <v>2359</v>
      </c>
      <c r="DK66" s="1202"/>
      <c r="DL66" s="1202"/>
      <c r="DM66" s="112"/>
      <c r="DN66" s="113"/>
      <c r="DO66" s="533"/>
      <c r="DP66" s="464">
        <f>+VLOOKUP(DJ13,'Cost x Depart'!$A$1:$AL$1275,'Res de Costos X Dept'!DI66,0)</f>
        <v>7600</v>
      </c>
      <c r="DQ66" s="135"/>
      <c r="DW66" s="105">
        <v>8</v>
      </c>
      <c r="DX66" s="1201" t="s">
        <v>2359</v>
      </c>
      <c r="DY66" s="1202"/>
      <c r="DZ66" s="1202"/>
      <c r="EA66" s="112"/>
      <c r="EB66" s="113"/>
      <c r="EC66" s="533"/>
      <c r="ED66" s="464">
        <f>+VLOOKUP(DX13,'Cost x Depart'!$A$1:$AL$1275,'Res de Costos X Dept'!DW66,0)</f>
        <v>5500</v>
      </c>
      <c r="EE66" s="135"/>
      <c r="EK66" s="105">
        <v>8</v>
      </c>
      <c r="EL66" s="1201" t="s">
        <v>2359</v>
      </c>
      <c r="EM66" s="1202"/>
      <c r="EN66" s="1202"/>
      <c r="EO66" s="112"/>
      <c r="EP66" s="113"/>
      <c r="EQ66" s="533"/>
      <c r="ER66" s="464">
        <f>+VLOOKUP(EL13,'Cost x Depart'!$A$1:$AL$1275,'Res de Costos X Dept'!EK66,0)</f>
        <v>7900</v>
      </c>
      <c r="ES66" s="135"/>
      <c r="EY66" s="105">
        <v>8</v>
      </c>
      <c r="EZ66" s="1201" t="s">
        <v>2359</v>
      </c>
      <c r="FA66" s="1202"/>
      <c r="FB66" s="1202"/>
      <c r="FC66" s="112"/>
      <c r="FD66" s="113"/>
      <c r="FE66" s="533"/>
      <c r="FF66" s="464">
        <f>+VLOOKUP(EZ13,'Cost x Depart'!$A$1:$AL$1275,'Res de Costos X Dept'!EY66,0)</f>
        <v>8500</v>
      </c>
      <c r="FG66" s="135"/>
      <c r="FM66" s="105">
        <v>8</v>
      </c>
      <c r="FN66" s="1201" t="s">
        <v>2359</v>
      </c>
      <c r="FO66" s="1202"/>
      <c r="FP66" s="1202"/>
      <c r="FQ66" s="112"/>
      <c r="FR66" s="113"/>
      <c r="FS66" s="533"/>
      <c r="FT66" s="464">
        <f>+VLOOKUP(FN13,'Cost x Depart'!$A$1:$AL$1275,'Res de Costos X Dept'!FM66,0)</f>
        <v>6150</v>
      </c>
      <c r="FU66" s="135"/>
      <c r="GA66" s="105">
        <v>8</v>
      </c>
      <c r="GB66" s="1201" t="s">
        <v>2359</v>
      </c>
      <c r="GC66" s="1202"/>
      <c r="GD66" s="1202"/>
      <c r="GE66" s="112"/>
      <c r="GF66" s="113"/>
      <c r="GG66" s="533"/>
      <c r="GH66" s="464">
        <f>+VLOOKUP(GB13,'Cost x Depart'!$A$1:$AL$1275,'Res de Costos X Dept'!GA66,0)</f>
        <v>4850</v>
      </c>
      <c r="GI66" s="135"/>
      <c r="GO66" s="105">
        <v>8</v>
      </c>
      <c r="GP66" s="1201" t="s">
        <v>2359</v>
      </c>
      <c r="GQ66" s="1202"/>
      <c r="GR66" s="1202"/>
      <c r="GS66" s="112"/>
      <c r="GT66" s="113"/>
      <c r="GU66" s="533"/>
      <c r="GV66" s="464">
        <f>+VLOOKUP(GP13,'Cost x Depart'!$A$1:$AL$1275,'Res de Costos X Dept'!GO66,0)</f>
        <v>3000</v>
      </c>
      <c r="GW66" s="135"/>
      <c r="HC66" s="105">
        <v>8</v>
      </c>
      <c r="HD66" s="1201" t="s">
        <v>2359</v>
      </c>
      <c r="HE66" s="1202"/>
      <c r="HF66" s="1202"/>
      <c r="HG66" s="112"/>
      <c r="HH66" s="113"/>
      <c r="HI66" s="533"/>
      <c r="HJ66" s="464">
        <f>+VLOOKUP(HD13,'Cost x Depart'!$A$1:$AL$1275,'Res de Costos X Dept'!HC66,0)</f>
        <v>9600</v>
      </c>
      <c r="HK66" s="135"/>
      <c r="HQ66" s="105">
        <v>8</v>
      </c>
      <c r="HR66" s="1201" t="s">
        <v>2359</v>
      </c>
      <c r="HS66" s="1202"/>
      <c r="HT66" s="1202"/>
      <c r="HU66" s="112"/>
      <c r="HV66" s="113"/>
      <c r="HW66" s="533"/>
      <c r="HX66" s="464">
        <f>+VLOOKUP(HR13,'Cost x Depart'!$A$1:$AL$1275,'Res de Costos X Dept'!HQ66,0)</f>
        <v>3400</v>
      </c>
      <c r="HY66" s="135"/>
      <c r="IE66" s="105">
        <v>8</v>
      </c>
      <c r="IF66" s="1201" t="s">
        <v>2359</v>
      </c>
      <c r="IG66" s="1202"/>
      <c r="IH66" s="1202"/>
      <c r="II66" s="112"/>
      <c r="IJ66" s="113"/>
      <c r="IK66" s="533"/>
      <c r="IL66" s="464">
        <f>+VLOOKUP(IF13,'Cost x Depart'!$A$1:$AL$1275,'Res de Costos X Dept'!IE66,0)</f>
        <v>2200</v>
      </c>
      <c r="IM66" s="135"/>
      <c r="IS66" s="105">
        <v>8</v>
      </c>
      <c r="IT66" s="1201" t="s">
        <v>2359</v>
      </c>
      <c r="IU66" s="1202"/>
      <c r="IV66" s="1202"/>
      <c r="IW66" s="112"/>
      <c r="IX66" s="113"/>
      <c r="IY66" s="533"/>
      <c r="IZ66" s="464">
        <f>+VLOOKUP(IT13,'Cost x Depart'!$A$1:$AL$1275,'Res de Costos X Dept'!IS66,0)</f>
        <v>14200</v>
      </c>
      <c r="JA66" s="135"/>
      <c r="JG66" s="105">
        <v>8</v>
      </c>
      <c r="JH66" s="1201" t="s">
        <v>2359</v>
      </c>
      <c r="JI66" s="1202"/>
      <c r="JJ66" s="1202"/>
      <c r="JK66" s="112"/>
      <c r="JL66" s="113"/>
      <c r="JM66" s="533"/>
      <c r="JN66" s="464">
        <f>+IZ66+IL66</f>
        <v>16400</v>
      </c>
      <c r="JO66" s="135"/>
      <c r="JU66" s="105">
        <v>8</v>
      </c>
      <c r="JV66" s="1201" t="s">
        <v>2359</v>
      </c>
      <c r="JW66" s="1202"/>
      <c r="JX66" s="1202"/>
      <c r="JY66" s="112"/>
      <c r="JZ66" s="113"/>
      <c r="KA66" s="533"/>
      <c r="KB66" s="464">
        <f>+VLOOKUP(JV13,'Cost x Depart'!$A$1:$AL$1275,'Res de Costos X Dept'!JU66,0)</f>
        <v>4700</v>
      </c>
      <c r="KC66" s="135"/>
      <c r="KI66" s="105">
        <v>8</v>
      </c>
      <c r="KJ66" s="1201" t="s">
        <v>2359</v>
      </c>
      <c r="KK66" s="1202"/>
      <c r="KL66" s="1202"/>
      <c r="KM66" s="112"/>
      <c r="KN66" s="113"/>
      <c r="KO66" s="533"/>
      <c r="KP66" s="464">
        <f>+VLOOKUP(KJ13,'Cost x Depart'!$A$1:$AL$1275,'Res de Costos X Dept'!KI66,0)</f>
        <v>2800</v>
      </c>
      <c r="KQ66" s="135"/>
      <c r="KW66" s="105">
        <v>8</v>
      </c>
      <c r="KX66" s="1201" t="s">
        <v>2359</v>
      </c>
      <c r="KY66" s="1202"/>
      <c r="KZ66" s="1202"/>
      <c r="LA66" s="112"/>
      <c r="LB66" s="113"/>
      <c r="LC66" s="533"/>
      <c r="LD66" s="464">
        <f>+VLOOKUP(KX13,'Cost x Depart'!$A$1:$AL$1275,'Res de Costos X Dept'!KW66,0)</f>
        <v>2300</v>
      </c>
      <c r="LE66" s="135"/>
      <c r="LK66" s="105">
        <v>8</v>
      </c>
      <c r="LL66" s="1201" t="s">
        <v>2359</v>
      </c>
      <c r="LM66" s="1202"/>
      <c r="LN66" s="1202"/>
      <c r="LO66" s="112"/>
      <c r="LP66" s="113"/>
      <c r="LQ66" s="533"/>
      <c r="LR66" s="464">
        <f>+VLOOKUP(LL13,'Cost x Depart'!$A$1:$AL$1275,'Res de Costos X Dept'!LK66,0)</f>
        <v>6050</v>
      </c>
      <c r="LS66" s="135"/>
      <c r="LY66" s="105">
        <v>8</v>
      </c>
      <c r="LZ66" s="1201" t="s">
        <v>2359</v>
      </c>
      <c r="MA66" s="1202"/>
      <c r="MB66" s="1202"/>
      <c r="MC66" s="112"/>
      <c r="MD66" s="113"/>
      <c r="ME66" s="533"/>
      <c r="MF66" s="464">
        <f>+VLOOKUP(LZ13,'Cost x Depart'!$A$1:$AL$1275,'Res de Costos X Dept'!LY66,0)</f>
        <v>6000</v>
      </c>
      <c r="MG66" s="135"/>
      <c r="MM66" s="105">
        <v>8</v>
      </c>
      <c r="MN66" s="1201" t="s">
        <v>2359</v>
      </c>
      <c r="MO66" s="1202"/>
      <c r="MP66" s="1202"/>
      <c r="MQ66" s="112"/>
      <c r="MR66" s="113"/>
      <c r="MS66" s="533"/>
      <c r="MT66" s="464">
        <f>+VLOOKUP(MN13,'Cost x Depart'!$A$1:$AL$1275,'Res de Costos X Dept'!MM66,0)</f>
        <v>6300</v>
      </c>
      <c r="MU66" s="135"/>
      <c r="NA66" s="105">
        <v>8</v>
      </c>
      <c r="NB66" s="1201" t="s">
        <v>2359</v>
      </c>
      <c r="NC66" s="1202"/>
      <c r="ND66" s="1202"/>
      <c r="NE66" s="112"/>
      <c r="NF66" s="113"/>
      <c r="NG66" s="533"/>
      <c r="NH66" s="464">
        <f>+VLOOKUP(NB13,'Cost x Depart'!$A$1:$AL$1275,'Res de Costos X Dept'!NA66,0)</f>
        <v>11750</v>
      </c>
      <c r="NI66" s="135"/>
      <c r="NO66" s="105">
        <v>8</v>
      </c>
      <c r="NP66" s="1201" t="s">
        <v>2359</v>
      </c>
      <c r="NQ66" s="1202"/>
      <c r="NR66" s="1202"/>
      <c r="NS66" s="112"/>
      <c r="NT66" s="113"/>
      <c r="NU66" s="533"/>
      <c r="NV66" s="464">
        <f>+VLOOKUP(NP13,'Cost x Depart'!$A$1:$AL$1275,'Res de Costos X Dept'!NO66,0)</f>
        <v>1900</v>
      </c>
      <c r="NW66" s="135"/>
      <c r="OC66" s="105">
        <v>8</v>
      </c>
      <c r="OD66" s="1201" t="s">
        <v>2359</v>
      </c>
      <c r="OE66" s="1202"/>
      <c r="OF66" s="1202"/>
      <c r="OG66" s="112"/>
      <c r="OH66" s="113"/>
      <c r="OI66" s="533"/>
      <c r="OJ66" s="464">
        <f>+VLOOKUP(OD13,'Cost x Depart'!$A$1:$AL$1275,'Res de Costos X Dept'!OC66,0)</f>
        <v>2400</v>
      </c>
      <c r="OK66" s="135"/>
      <c r="OQ66" s="105">
        <v>8</v>
      </c>
      <c r="OR66" s="1201" t="s">
        <v>2359</v>
      </c>
      <c r="OS66" s="1202"/>
      <c r="OT66" s="1202"/>
      <c r="OU66" s="112"/>
      <c r="OV66" s="113"/>
      <c r="OW66" s="533"/>
      <c r="OX66" s="464">
        <f>+VLOOKUP(OR13,'Cost x Depart'!$A$1:$AL$1275,'Res de Costos X Dept'!OQ66,0)</f>
        <v>3100</v>
      </c>
      <c r="OY66" s="135"/>
      <c r="PE66" s="105">
        <v>8</v>
      </c>
      <c r="PF66" s="1201" t="s">
        <v>2359</v>
      </c>
      <c r="PG66" s="1202"/>
      <c r="PH66" s="1202"/>
      <c r="PI66" s="112"/>
      <c r="PJ66" s="113"/>
      <c r="PK66" s="533"/>
      <c r="PL66" s="464">
        <f>+VLOOKUP(PF13,'Cost x Depart'!$A$1:$AL$1275,'Res de Costos X Dept'!PE66,0)</f>
        <v>750</v>
      </c>
      <c r="PM66" s="135"/>
      <c r="PS66" s="105">
        <v>8</v>
      </c>
      <c r="PT66" s="1201" t="s">
        <v>2359</v>
      </c>
      <c r="PU66" s="1202"/>
      <c r="PV66" s="1202"/>
      <c r="PW66" s="112"/>
      <c r="PX66" s="113"/>
      <c r="PY66" s="533"/>
      <c r="PZ66" s="464">
        <f>+VLOOKUP(PT13,'Cost x Depart'!$A$1:$AL$1275,'Res de Costos X Dept'!PS66,0)</f>
        <v>1200</v>
      </c>
      <c r="QA66" s="135"/>
      <c r="QG66" s="105">
        <v>8</v>
      </c>
      <c r="QH66" s="1201" t="s">
        <v>2359</v>
      </c>
      <c r="QI66" s="1202"/>
      <c r="QJ66" s="1202"/>
      <c r="QK66" s="112"/>
      <c r="QL66" s="113"/>
      <c r="QM66" s="533"/>
      <c r="QN66" s="464">
        <f>+VLOOKUP(QH13,'Cost x Depart'!$A$1:$AL$1275,'Res de Costos X Dept'!QG66,0)</f>
        <v>400</v>
      </c>
      <c r="QO66" s="135"/>
      <c r="QU66" s="105">
        <v>8</v>
      </c>
      <c r="QV66" s="1201" t="s">
        <v>2359</v>
      </c>
      <c r="QW66" s="1202"/>
      <c r="QX66" s="1202"/>
      <c r="QY66" s="112"/>
      <c r="QZ66" s="113"/>
      <c r="RA66" s="533"/>
      <c r="RB66" s="464">
        <f>+VLOOKUP(QV13,'Cost x Depart'!$A$1:$AL$1275,'Res de Costos X Dept'!QU66,0)</f>
        <v>1000</v>
      </c>
      <c r="RC66" s="135"/>
      <c r="RI66" s="105">
        <v>8</v>
      </c>
      <c r="RJ66" s="1201" t="s">
        <v>2359</v>
      </c>
      <c r="RK66" s="1202"/>
      <c r="RL66" s="1202"/>
      <c r="RM66" s="112"/>
      <c r="RN66" s="113"/>
      <c r="RO66" s="533"/>
      <c r="RP66" s="464">
        <f>+VLOOKUP(RJ13,'Cost x Depart'!$A$1:$AL$1275,'Res de Costos X Dept'!RI66,0)</f>
        <v>400</v>
      </c>
      <c r="RQ66" s="135"/>
      <c r="RW66" s="105">
        <v>8</v>
      </c>
      <c r="RX66" s="1201" t="s">
        <v>2359</v>
      </c>
      <c r="RY66" s="1202"/>
      <c r="RZ66" s="1202"/>
      <c r="SA66" s="112"/>
      <c r="SB66" s="113"/>
      <c r="SC66" s="533"/>
      <c r="SD66" s="464">
        <f>+VLOOKUP(RX13,'Cost x Depart'!$A$1:$AL$1275,'Res de Costos X Dept'!RW66,0)</f>
        <v>650</v>
      </c>
      <c r="SE66" s="135"/>
      <c r="SK66" s="105">
        <v>8</v>
      </c>
      <c r="SL66" s="1201" t="s">
        <v>2359</v>
      </c>
      <c r="SM66" s="1202"/>
      <c r="SN66" s="1202"/>
      <c r="SO66" s="112"/>
      <c r="SP66" s="113"/>
      <c r="SQ66" s="533"/>
      <c r="SR66" s="464">
        <f>+VLOOKUP(SL13,'Cost x Depart'!$A$1:$AL$1275,'Res de Costos X Dept'!SK66,0)</f>
        <v>0</v>
      </c>
      <c r="SS66" s="135"/>
      <c r="SY66" s="105">
        <v>8</v>
      </c>
      <c r="SZ66" s="1201" t="s">
        <v>2359</v>
      </c>
      <c r="TA66" s="1202"/>
      <c r="TB66" s="1202"/>
      <c r="TC66" s="112"/>
      <c r="TD66" s="113"/>
      <c r="TE66" s="533"/>
      <c r="TF66" s="125">
        <f t="shared" ref="TF66" si="1932">+H66+V66+AX66+BL66+BZ66+CN66+DB66+DP66+ED66+ER66+FF66+FT66+GH66+GV66+HJ66+HX66+IL66+IZ66+KB66+KP66+LD66+LR66+MF66+MT66+NH66+NV66+OJ66+OX66+PL66+PZ66+QN66+RB66+RP66+SD66</f>
        <v>175400</v>
      </c>
      <c r="TG66" s="135"/>
    </row>
    <row r="67" spans="1:531" ht="18.75" customHeight="1" thickBot="1">
      <c r="B67" s="924" t="s">
        <v>1370</v>
      </c>
      <c r="C67" s="132"/>
      <c r="D67" s="132"/>
      <c r="E67" s="132"/>
      <c r="F67" s="132"/>
      <c r="G67" s="132"/>
      <c r="H67" s="940">
        <f>+H65/H66/'Parametros Generales'!$C$6</f>
        <v>37425.23440628875</v>
      </c>
      <c r="P67" s="924" t="s">
        <v>1370</v>
      </c>
      <c r="Q67" s="132"/>
      <c r="R67" s="132"/>
      <c r="S67" s="132"/>
      <c r="T67" s="132"/>
      <c r="U67" s="132"/>
      <c r="V67" s="940">
        <f>+V65/V66/'Parametros Generales'!$C$6</f>
        <v>38131.632377566923</v>
      </c>
      <c r="AD67" s="924" t="s">
        <v>1370</v>
      </c>
      <c r="AE67" s="132"/>
      <c r="AF67" s="132"/>
      <c r="AG67" s="132"/>
      <c r="AH67" s="132"/>
      <c r="AI67" s="132"/>
      <c r="AJ67" s="940">
        <f>+AJ65/AJ66/'Parametros Generales'!$C$6</f>
        <v>37557.6840259034</v>
      </c>
      <c r="AR67" s="924" t="s">
        <v>1370</v>
      </c>
      <c r="AS67" s="132"/>
      <c r="AT67" s="132"/>
      <c r="AU67" s="132"/>
      <c r="AV67" s="132"/>
      <c r="AW67" s="132"/>
      <c r="AX67" s="940">
        <f>+AX65/AX66/'Parametros Generales'!$C$6</f>
        <v>37178.408661866924</v>
      </c>
      <c r="BF67" s="924" t="s">
        <v>1370</v>
      </c>
      <c r="BG67" s="132"/>
      <c r="BH67" s="132"/>
      <c r="BI67" s="132"/>
      <c r="BJ67" s="132"/>
      <c r="BK67" s="132"/>
      <c r="BL67" s="940">
        <f>+BL65/BL66/'Parametros Generales'!$C$6</f>
        <v>36874.981335802782</v>
      </c>
      <c r="BT67" s="924" t="s">
        <v>1370</v>
      </c>
      <c r="BU67" s="132"/>
      <c r="BV67" s="132"/>
      <c r="BW67" s="132"/>
      <c r="BX67" s="132"/>
      <c r="BY67" s="132"/>
      <c r="BZ67" s="940">
        <f>+BZ65/BZ66/'Parametros Generales'!$C$6</f>
        <v>36504.630669183331</v>
      </c>
      <c r="CH67" s="924" t="s">
        <v>1370</v>
      </c>
      <c r="CI67" s="132"/>
      <c r="CJ67" s="132"/>
      <c r="CK67" s="132"/>
      <c r="CL67" s="132"/>
      <c r="CM67" s="132"/>
      <c r="CN67" s="940">
        <f>+CN65/CN66/'Parametros Generales'!$C$6</f>
        <v>35975.44862534057</v>
      </c>
      <c r="CV67" s="924" t="s">
        <v>1370</v>
      </c>
      <c r="CW67" s="132"/>
      <c r="CX67" s="132"/>
      <c r="CY67" s="132"/>
      <c r="CZ67" s="132"/>
      <c r="DA67" s="132"/>
      <c r="DB67" s="940">
        <f>+DB65/DB66/'Parametros Generales'!$C$6</f>
        <v>36868.671688071932</v>
      </c>
      <c r="DJ67" s="924" t="s">
        <v>1370</v>
      </c>
      <c r="DK67" s="132"/>
      <c r="DL67" s="132"/>
      <c r="DM67" s="132"/>
      <c r="DN67" s="132"/>
      <c r="DO67" s="132"/>
      <c r="DP67" s="940">
        <f>+DP65/DP66/'Parametros Generales'!$C$6</f>
        <v>37476.810995187712</v>
      </c>
      <c r="DX67" s="924" t="s">
        <v>1370</v>
      </c>
      <c r="DY67" s="132"/>
      <c r="DZ67" s="132"/>
      <c r="EA67" s="132"/>
      <c r="EB67" s="132"/>
      <c r="EC67" s="132"/>
      <c r="ED67" s="940">
        <f>+ED65/ED66/'Parametros Generales'!$C$6</f>
        <v>37196.283289802333</v>
      </c>
      <c r="EL67" s="924" t="s">
        <v>1370</v>
      </c>
      <c r="EM67" s="132"/>
      <c r="EN67" s="132"/>
      <c r="EO67" s="132"/>
      <c r="EP67" s="132"/>
      <c r="EQ67" s="132"/>
      <c r="ER67" s="940">
        <f>+ER65/ER66/'Parametros Generales'!$C$6</f>
        <v>36892.188353787169</v>
      </c>
      <c r="EZ67" s="924" t="s">
        <v>1370</v>
      </c>
      <c r="FA67" s="132"/>
      <c r="FB67" s="132"/>
      <c r="FC67" s="132"/>
      <c r="FD67" s="132"/>
      <c r="FE67" s="132"/>
      <c r="FF67" s="940">
        <f>+FF65/FF66/'Parametros Generales'!$C$6</f>
        <v>36883.949804863172</v>
      </c>
      <c r="FN67" s="924" t="s">
        <v>1370</v>
      </c>
      <c r="FO67" s="132"/>
      <c r="FP67" s="132"/>
      <c r="FQ67" s="132"/>
      <c r="FR67" s="132"/>
      <c r="FS67" s="132"/>
      <c r="FT67" s="940">
        <f>+FT65/FT66/'Parametros Generales'!$C$6</f>
        <v>37090.488743973219</v>
      </c>
      <c r="GB67" s="924" t="s">
        <v>1370</v>
      </c>
      <c r="GC67" s="132"/>
      <c r="GD67" s="132"/>
      <c r="GE67" s="132"/>
      <c r="GF67" s="132"/>
      <c r="GG67" s="132"/>
      <c r="GH67" s="940">
        <f>+GH65/GH66/'Parametros Generales'!$C$6</f>
        <v>36361.852507336196</v>
      </c>
      <c r="GP67" s="924" t="s">
        <v>1370</v>
      </c>
      <c r="GQ67" s="132"/>
      <c r="GR67" s="132"/>
      <c r="GS67" s="132"/>
      <c r="GT67" s="132"/>
      <c r="GU67" s="132"/>
      <c r="GV67" s="940">
        <f>+GV65/GV66/'Parametros Generales'!$C$6</f>
        <v>36769.828966930174</v>
      </c>
      <c r="HD67" s="924" t="s">
        <v>1370</v>
      </c>
      <c r="HE67" s="132"/>
      <c r="HF67" s="132"/>
      <c r="HG67" s="132"/>
      <c r="HH67" s="132"/>
      <c r="HI67" s="132"/>
      <c r="HJ67" s="940">
        <f>+HJ65/HJ66/'Parametros Generales'!$C$6</f>
        <v>36912.151183245631</v>
      </c>
      <c r="HR67" s="924" t="s">
        <v>1370</v>
      </c>
      <c r="HS67" s="132"/>
      <c r="HT67" s="132"/>
      <c r="HU67" s="132"/>
      <c r="HV67" s="132"/>
      <c r="HW67" s="132"/>
      <c r="HX67" s="940">
        <f>+HX65/HX66/'Parametros Generales'!$C$6</f>
        <v>36608.0408356072</v>
      </c>
      <c r="IF67" s="924" t="s">
        <v>1370</v>
      </c>
      <c r="IG67" s="132"/>
      <c r="IH67" s="132"/>
      <c r="II67" s="132"/>
      <c r="IJ67" s="132"/>
      <c r="IK67" s="132"/>
      <c r="IL67" s="940">
        <f>+IL65/IL66/'Parametros Generales'!$C$6</f>
        <v>38054.96675343706</v>
      </c>
      <c r="IT67" s="924" t="s">
        <v>1370</v>
      </c>
      <c r="IU67" s="132"/>
      <c r="IV67" s="132"/>
      <c r="IW67" s="132"/>
      <c r="IX67" s="132"/>
      <c r="IY67" s="132"/>
      <c r="IZ67" s="940">
        <f>+IZ65/IZ66/'Parametros Generales'!$C$6</f>
        <v>36662.784658606666</v>
      </c>
      <c r="JH67" s="924" t="s">
        <v>1370</v>
      </c>
      <c r="JI67" s="132"/>
      <c r="JJ67" s="132"/>
      <c r="JK67" s="132"/>
      <c r="JL67" s="132"/>
      <c r="JM67" s="132"/>
      <c r="JN67" s="940">
        <f>+JN65/JN66/'Parametros Generales'!$C$6</f>
        <v>36849.540793279026</v>
      </c>
      <c r="JV67" s="924" t="s">
        <v>1370</v>
      </c>
      <c r="JW67" s="132"/>
      <c r="JX67" s="132"/>
      <c r="JY67" s="132"/>
      <c r="JZ67" s="132"/>
      <c r="KA67" s="132"/>
      <c r="KB67" s="940">
        <f>+KB65/KB66/'Parametros Generales'!$C$6</f>
        <v>37320.477033592251</v>
      </c>
      <c r="KJ67" s="924" t="s">
        <v>1370</v>
      </c>
      <c r="KK67" s="132"/>
      <c r="KL67" s="132"/>
      <c r="KM67" s="132"/>
      <c r="KN67" s="132"/>
      <c r="KO67" s="132"/>
      <c r="KP67" s="940">
        <f>+KP65/KP66/'Parametros Generales'!$C$6</f>
        <v>37669.960930090834</v>
      </c>
      <c r="KX67" s="924" t="s">
        <v>1370</v>
      </c>
      <c r="KY67" s="132"/>
      <c r="KZ67" s="132"/>
      <c r="LA67" s="132"/>
      <c r="LB67" s="132"/>
      <c r="LC67" s="132"/>
      <c r="LD67" s="940">
        <f>+LD65/LD66/'Parametros Generales'!$C$6</f>
        <v>37305.066313507501</v>
      </c>
      <c r="LL67" s="924" t="s">
        <v>1370</v>
      </c>
      <c r="LM67" s="132"/>
      <c r="LN67" s="132"/>
      <c r="LO67" s="132"/>
      <c r="LP67" s="132"/>
      <c r="LQ67" s="132"/>
      <c r="LR67" s="940">
        <f>+LR65/LR66/'Parametros Generales'!$C$6</f>
        <v>37105.285183949316</v>
      </c>
      <c r="LZ67" s="924" t="s">
        <v>1370</v>
      </c>
      <c r="MA67" s="132"/>
      <c r="MB67" s="132"/>
      <c r="MC67" s="132"/>
      <c r="MD67" s="132"/>
      <c r="ME67" s="132"/>
      <c r="MF67" s="940">
        <f>+MF65/MF66/'Parametros Generales'!$C$6</f>
        <v>37112.868359437067</v>
      </c>
      <c r="MN67" s="924" t="s">
        <v>1370</v>
      </c>
      <c r="MO67" s="132"/>
      <c r="MP67" s="132"/>
      <c r="MQ67" s="132"/>
      <c r="MR67" s="132"/>
      <c r="MS67" s="132"/>
      <c r="MT67" s="940">
        <f>+MT65/MT66/'Parametros Generales'!$C$6</f>
        <v>36168.165741372635</v>
      </c>
      <c r="NB67" s="924" t="s">
        <v>1370</v>
      </c>
      <c r="NC67" s="132"/>
      <c r="ND67" s="132"/>
      <c r="NE67" s="132"/>
      <c r="NF67" s="132"/>
      <c r="NG67" s="132"/>
      <c r="NH67" s="940">
        <f>+NH65/NH66/'Parametros Generales'!$C$6</f>
        <v>37112.963586712547</v>
      </c>
      <c r="NP67" s="924" t="s">
        <v>1370</v>
      </c>
      <c r="NQ67" s="132"/>
      <c r="NR67" s="132"/>
      <c r="NS67" s="132"/>
      <c r="NT67" s="132"/>
      <c r="NU67" s="132"/>
      <c r="NV67" s="940">
        <f>+NV65/NV66/'Parametros Generales'!$C$6</f>
        <v>36536.028412950414</v>
      </c>
      <c r="OD67" s="924" t="s">
        <v>1370</v>
      </c>
      <c r="OE67" s="132"/>
      <c r="OF67" s="132"/>
      <c r="OG67" s="132"/>
      <c r="OH67" s="132"/>
      <c r="OI67" s="132"/>
      <c r="OJ67" s="940">
        <f>+OJ65/OJ66/'Parametros Generales'!$C$6</f>
        <v>37696.550190877693</v>
      </c>
      <c r="OR67" s="924" t="s">
        <v>1370</v>
      </c>
      <c r="OS67" s="132"/>
      <c r="OT67" s="132"/>
      <c r="OU67" s="132"/>
      <c r="OV67" s="132"/>
      <c r="OW67" s="132"/>
      <c r="OX67" s="940">
        <f>+OX65/OX66/'Parametros Generales'!$C$6</f>
        <v>36871.183018706026</v>
      </c>
      <c r="PF67" s="924" t="s">
        <v>1370</v>
      </c>
      <c r="PG67" s="132"/>
      <c r="PH67" s="132"/>
      <c r="PI67" s="132"/>
      <c r="PJ67" s="132"/>
      <c r="PK67" s="132"/>
      <c r="PL67" s="940">
        <f>+PL65/PL66/'Parametros Generales'!$C$6</f>
        <v>38754.941020444137</v>
      </c>
      <c r="PT67" s="924" t="s">
        <v>1370</v>
      </c>
      <c r="PU67" s="132"/>
      <c r="PV67" s="132"/>
      <c r="PW67" s="132"/>
      <c r="PX67" s="132"/>
      <c r="PY67" s="132"/>
      <c r="PZ67" s="940">
        <f>+PZ65/PZ66/'Parametros Generales'!$C$6</f>
        <v>37380.179948409976</v>
      </c>
      <c r="QH67" s="924" t="s">
        <v>1370</v>
      </c>
      <c r="QI67" s="132"/>
      <c r="QJ67" s="132"/>
      <c r="QK67" s="132"/>
      <c r="QL67" s="132"/>
      <c r="QM67" s="132"/>
      <c r="QN67" s="940">
        <f>+QN65/QN66/'Parametros Generales'!$C$6</f>
        <v>41962.716855190505</v>
      </c>
      <c r="QV67" s="924" t="s">
        <v>1370</v>
      </c>
      <c r="QW67" s="132"/>
      <c r="QX67" s="132"/>
      <c r="QY67" s="132"/>
      <c r="QZ67" s="132"/>
      <c r="RA67" s="132"/>
      <c r="RB67" s="940">
        <f>+RB65/RB66/'Parametros Generales'!$C$6</f>
        <v>37838.433639088027</v>
      </c>
      <c r="RJ67" s="924" t="s">
        <v>1370</v>
      </c>
      <c r="RK67" s="132"/>
      <c r="RL67" s="132"/>
      <c r="RM67" s="132"/>
      <c r="RN67" s="132"/>
      <c r="RO67" s="132"/>
      <c r="RP67" s="940">
        <f>+RP65/RP66/'Parametros Generales'!$C$6</f>
        <v>42075.452260854836</v>
      </c>
      <c r="RX67" s="924" t="s">
        <v>1370</v>
      </c>
      <c r="RY67" s="132"/>
      <c r="RZ67" s="132"/>
      <c r="SA67" s="132"/>
      <c r="SB67" s="132"/>
      <c r="SC67" s="132"/>
      <c r="SD67" s="940">
        <f>+SD65/SD66/'Parametros Generales'!$C$6</f>
        <v>39318.94556281712</v>
      </c>
      <c r="SL67" s="924" t="s">
        <v>1370</v>
      </c>
      <c r="SM67" s="132"/>
      <c r="SN67" s="132"/>
      <c r="SO67" s="132"/>
      <c r="SP67" s="132"/>
      <c r="SQ67" s="132"/>
      <c r="SR67" s="940">
        <f>IF(ISERROR((+SR65/SR66/'Parametros Generales'!$C$6)),0,(+SR65/SR66/'Parametros Generales'!$C$6))</f>
        <v>0</v>
      </c>
      <c r="SZ67" s="924" t="s">
        <v>1370</v>
      </c>
      <c r="TA67" s="132"/>
      <c r="TB67" s="132"/>
      <c r="TC67" s="132"/>
      <c r="TD67" s="132"/>
      <c r="TE67" s="132"/>
      <c r="TF67" s="860">
        <f>+TF65/TF66/'Parametros Generales'!$C$6</f>
        <v>37025.397143248469</v>
      </c>
    </row>
    <row r="68" spans="1:531" ht="18.75" customHeight="1">
      <c r="H68" s="944">
        <f>(VLOOKUP(B13,'Cost x Depart'!$A$1:$AL$1275,38,0))</f>
        <v>37425.23440628872</v>
      </c>
      <c r="V68" s="944">
        <f>(VLOOKUP(P13,'Cost x Depart'!$A$1:$AL$1275,38,0))</f>
        <v>38131.632377566923</v>
      </c>
      <c r="AJ68" s="944">
        <f>+((V65+H65)/(H66+V66))/'Parametros Generales'!$C$6</f>
        <v>37557.6840259034</v>
      </c>
      <c r="AX68" s="944">
        <f>(VLOOKUP(AR13,'Cost x Depart'!$A$1:$AL$1275,38,0))</f>
        <v>37178.408661866924</v>
      </c>
      <c r="BL68" s="944">
        <f>(VLOOKUP(BF13,'Cost x Depart'!$A$1:$AL$1275,38,0))</f>
        <v>36874.981335802782</v>
      </c>
      <c r="BZ68" s="944">
        <f>(VLOOKUP(BT13,'Cost x Depart'!$A$1:$AL$1275,38,0))</f>
        <v>36504.630669183323</v>
      </c>
      <c r="CN68" s="944">
        <f>(VLOOKUP(CH13,'Cost x Depart'!$A$1:$AL$1275,38,0))</f>
        <v>35975.448625340578</v>
      </c>
      <c r="DB68" s="944">
        <f>(VLOOKUP(CV13,'Cost x Depart'!$A$1:$AL$1275,38,0))</f>
        <v>36868.671688071932</v>
      </c>
      <c r="DP68" s="944">
        <f>(VLOOKUP(DJ13,'Cost x Depart'!$A$1:$AL$1275,38,0))</f>
        <v>37476.810995187712</v>
      </c>
      <c r="ED68" s="944">
        <f>(VLOOKUP(DX13,'Cost x Depart'!$A$1:$AL$1275,38,0))</f>
        <v>37196.283289802333</v>
      </c>
      <c r="ER68" s="944">
        <f>(VLOOKUP(EL13,'Cost x Depart'!$A$1:$AL$1275,38,0))</f>
        <v>36892.188353787176</v>
      </c>
      <c r="FF68" s="944">
        <f>(VLOOKUP(EZ13,'Cost x Depart'!$A$1:$AL$1275,38,0))</f>
        <v>36883.949804863172</v>
      </c>
      <c r="FT68" s="944">
        <f>(VLOOKUP(FN13,'Cost x Depart'!$A$1:$AL$1275,38,0))</f>
        <v>37090.488743973212</v>
      </c>
      <c r="GH68" s="944">
        <f>(VLOOKUP(GB13,'Cost x Depart'!$A$1:$AL$1275,38,0))</f>
        <v>36361.852507336196</v>
      </c>
      <c r="GV68" s="944">
        <f>(VLOOKUP(GP13,'Cost x Depart'!$A$1:$AL$1275,38,0))</f>
        <v>36769.828966930181</v>
      </c>
      <c r="HJ68" s="944">
        <f>(VLOOKUP(HD13,'Cost x Depart'!$A$1:$AL$1275,38,0))</f>
        <v>36912.151183245631</v>
      </c>
      <c r="HX68" s="944">
        <f>(VLOOKUP(HR13,'Cost x Depart'!$A$1:$AL$1275,38,0))</f>
        <v>36608.040835607208</v>
      </c>
      <c r="IL68" s="944">
        <f>(VLOOKUP(IF13,'Cost x Depart'!$A$1:$AL$1275,38,0))</f>
        <v>38054.96675343706</v>
      </c>
      <c r="IZ68" s="944">
        <f>(VLOOKUP(IT13,'Cost x Depart'!$A$1:$AL$1275,38,0))</f>
        <v>36662.784658606623</v>
      </c>
      <c r="JN68" s="944">
        <f>+((IZ65+IL65)/(IL66+IZ66))/'Parametros Generales'!$C$6</f>
        <v>36849.540793279026</v>
      </c>
      <c r="KB68" s="944">
        <f>(VLOOKUP(JV13,'Cost x Depart'!$A$1:$AL$1275,38,0))</f>
        <v>37320.477033592251</v>
      </c>
      <c r="KP68" s="944">
        <f>(VLOOKUP(KJ13,'Cost x Depart'!$A$1:$AL$1275,38,0))</f>
        <v>37669.960930090841</v>
      </c>
      <c r="LD68" s="944">
        <f>(VLOOKUP(KX13,'Cost x Depart'!$A$1:$AL$1275,38,0))</f>
        <v>37305.066313507501</v>
      </c>
      <c r="LR68" s="944">
        <f>(VLOOKUP(LL13,'Cost x Depart'!$A$1:$AL$1275,38,0))</f>
        <v>37105.285183949323</v>
      </c>
      <c r="MF68" s="944">
        <f>(VLOOKUP(LZ13,'Cost x Depart'!$A$1:$AL$1275,38,0))</f>
        <v>37112.868359437081</v>
      </c>
      <c r="MT68" s="944">
        <f>(VLOOKUP(MN13,'Cost x Depart'!$A$1:$AL$1275,38,0))</f>
        <v>36168.165741372635</v>
      </c>
      <c r="NH68" s="944">
        <f>(VLOOKUP(NB13,'Cost x Depart'!$A$1:$AL$1275,38,0))</f>
        <v>37112.963586712562</v>
      </c>
      <c r="NV68" s="944">
        <f>(VLOOKUP(NP13,'Cost x Depart'!$A$1:$AL$1275,38,0))</f>
        <v>36536.028412950414</v>
      </c>
      <c r="OJ68" s="944">
        <f>(VLOOKUP(OD13,'Cost x Depart'!$A$1:$AL$1275,38,0))</f>
        <v>37696.550190877693</v>
      </c>
      <c r="OX68" s="944">
        <f>(VLOOKUP(OR13,'Cost x Depart'!$A$1:$AL$1275,38,0))</f>
        <v>36871.183018706026</v>
      </c>
      <c r="PL68" s="944">
        <f>(VLOOKUP(PF13,'Cost x Depart'!$A$1:$AL$1275,38,0))</f>
        <v>38754.941020444137</v>
      </c>
      <c r="PZ68" s="944">
        <f>(VLOOKUP(PT13,'Cost x Depart'!$A$1:$AL$1275,38,0))</f>
        <v>37380.179948409976</v>
      </c>
      <c r="QN68" s="944">
        <f>(VLOOKUP(QH13,'Cost x Depart'!$A$1:$AL$1275,38,0))</f>
        <v>41962.716855190505</v>
      </c>
      <c r="RB68" s="944">
        <f>(VLOOKUP(QV13,'Cost x Depart'!$A$1:$AL$1275,38,0))</f>
        <v>37838.43363908802</v>
      </c>
      <c r="RP68" s="944">
        <f>(VLOOKUP(RJ13,'Cost x Depart'!$A$1:$AL$1275,38,0))</f>
        <v>42075.452260854836</v>
      </c>
      <c r="SD68" s="944">
        <f>(VLOOKUP(RX13,'Cost x Depart'!$A$1:$AL$1275,38,0))</f>
        <v>39318.94556281712</v>
      </c>
      <c r="SR68" s="944">
        <f>(VLOOKUP(SL13,'Cost x Depart'!$A$1:$AL$1275,38,0))</f>
        <v>0</v>
      </c>
      <c r="TF68" s="968">
        <f>+'Analisis de Escenarios'!U42</f>
        <v>37025.397143248454</v>
      </c>
    </row>
    <row r="69" spans="1:531" ht="15.75" customHeight="1">
      <c r="H69" s="945" t="str">
        <f>+IF((ROUND(H67,2))=(ROUND(H68,2)),"Ok","Rev")</f>
        <v>Ok</v>
      </c>
      <c r="V69" s="945" t="str">
        <f t="shared" ref="V69" si="1933">+IF((ROUND(V67,2))=(ROUND(V68,2)),"Ok","Rev")</f>
        <v>Ok</v>
      </c>
      <c r="AJ69" s="945" t="str">
        <f t="shared" ref="AJ69" si="1934">+IF((ROUND(AJ67,2))=(ROUND(AJ68,2)),"Ok","Rev")</f>
        <v>Ok</v>
      </c>
      <c r="AX69" s="945" t="str">
        <f t="shared" ref="AX69" si="1935">+IF((ROUND(AX67,2))=(ROUND(AX68,2)),"Ok","Rev")</f>
        <v>Ok</v>
      </c>
      <c r="BL69" s="945" t="str">
        <f t="shared" ref="BL69" si="1936">+IF((ROUND(BL67,2))=(ROUND(BL68,2)),"Ok","Rev")</f>
        <v>Ok</v>
      </c>
      <c r="BZ69" s="945" t="str">
        <f t="shared" ref="BZ69:ED69" si="1937">+IF((ROUND(BZ67,2))=(ROUND(BZ68,2)),"Ok","Rev")</f>
        <v>Ok</v>
      </c>
      <c r="CN69" s="945" t="str">
        <f t="shared" si="1937"/>
        <v>Ok</v>
      </c>
      <c r="DB69" s="945" t="str">
        <f t="shared" si="1937"/>
        <v>Ok</v>
      </c>
      <c r="DP69" s="945" t="str">
        <f t="shared" si="1937"/>
        <v>Ok</v>
      </c>
      <c r="ED69" s="945" t="str">
        <f t="shared" si="1937"/>
        <v>Ok</v>
      </c>
      <c r="ER69" s="945" t="str">
        <f t="shared" ref="ER69:GV69" si="1938">+IF((ROUND(ER67,2))=(ROUND(ER68,2)),"Ok","Rev")</f>
        <v>Ok</v>
      </c>
      <c r="FF69" s="945" t="str">
        <f t="shared" si="1938"/>
        <v>Ok</v>
      </c>
      <c r="FT69" s="945" t="str">
        <f t="shared" si="1938"/>
        <v>Ok</v>
      </c>
      <c r="GH69" s="945" t="str">
        <f t="shared" si="1938"/>
        <v>Ok</v>
      </c>
      <c r="GV69" s="945" t="str">
        <f t="shared" si="1938"/>
        <v>Ok</v>
      </c>
      <c r="HJ69" s="945" t="str">
        <f t="shared" ref="HJ69:KB69" si="1939">+IF((ROUND(HJ67,2))=(ROUND(HJ68,2)),"Ok","Rev")</f>
        <v>Ok</v>
      </c>
      <c r="HX69" s="945" t="str">
        <f t="shared" si="1939"/>
        <v>Ok</v>
      </c>
      <c r="IL69" s="945" t="str">
        <f t="shared" si="1939"/>
        <v>Ok</v>
      </c>
      <c r="IZ69" s="945" t="str">
        <f t="shared" si="1939"/>
        <v>Ok</v>
      </c>
      <c r="JN69" s="945" t="str">
        <f t="shared" ref="JN69" si="1940">+IF((ROUND(JN67,2))=(ROUND(JN68,2)),"Ok","Rev")</f>
        <v>Ok</v>
      </c>
      <c r="KB69" s="945" t="str">
        <f t="shared" si="1939"/>
        <v>Ok</v>
      </c>
      <c r="KP69" s="945" t="str">
        <f t="shared" ref="KP69:MT69" si="1941">+IF((ROUND(KP67,2))=(ROUND(KP68,2)),"Ok","Rev")</f>
        <v>Ok</v>
      </c>
      <c r="LD69" s="945" t="str">
        <f t="shared" si="1941"/>
        <v>Ok</v>
      </c>
      <c r="LR69" s="945" t="str">
        <f t="shared" si="1941"/>
        <v>Ok</v>
      </c>
      <c r="MF69" s="945" t="str">
        <f t="shared" si="1941"/>
        <v>Ok</v>
      </c>
      <c r="MT69" s="945" t="str">
        <f t="shared" si="1941"/>
        <v>Ok</v>
      </c>
      <c r="NH69" s="945" t="str">
        <f t="shared" ref="NH69:PL69" si="1942">+IF((ROUND(NH67,2))=(ROUND(NH68,2)),"Ok","Rev")</f>
        <v>Ok</v>
      </c>
      <c r="NV69" s="945" t="str">
        <f t="shared" si="1942"/>
        <v>Ok</v>
      </c>
      <c r="OJ69" s="945" t="str">
        <f t="shared" si="1942"/>
        <v>Ok</v>
      </c>
      <c r="OX69" s="945" t="str">
        <f t="shared" si="1942"/>
        <v>Ok</v>
      </c>
      <c r="PL69" s="945" t="str">
        <f t="shared" si="1942"/>
        <v>Ok</v>
      </c>
      <c r="PZ69" s="945" t="str">
        <f t="shared" ref="PZ69:SD69" si="1943">+IF((ROUND(PZ67,2))=(ROUND(PZ68,2)),"Ok","Rev")</f>
        <v>Ok</v>
      </c>
      <c r="QN69" s="945" t="str">
        <f t="shared" si="1943"/>
        <v>Ok</v>
      </c>
      <c r="RB69" s="945" t="str">
        <f t="shared" si="1943"/>
        <v>Ok</v>
      </c>
      <c r="RP69" s="945" t="str">
        <f t="shared" si="1943"/>
        <v>Ok</v>
      </c>
      <c r="SD69" s="945" t="str">
        <f t="shared" si="1943"/>
        <v>Ok</v>
      </c>
      <c r="SR69" s="945" t="str">
        <f>IF(ISERROR((+IF((ROUND(SR67,2))=(ROUND(SR68,2)),"Ok","Rev"))),0,(+IF((ROUND(SR67,2))=(ROUND(SR68,2)),"Ok","Rev")))</f>
        <v>Ok</v>
      </c>
      <c r="TF69" s="945" t="str">
        <f t="shared" ref="TF69" si="1944">+IF((ROUND(TF67,2))=(ROUND(TF68,2)),"Ok","Rev")</f>
        <v>Ok</v>
      </c>
    </row>
    <row r="71" spans="1:531" ht="15.75" customHeight="1">
      <c r="B71" s="946">
        <f t="shared" ref="B71:C71" si="1945">+B13</f>
        <v>1</v>
      </c>
      <c r="C71" s="946" t="str">
        <f t="shared" si="1945"/>
        <v>ANTIOQUIA ZONA 1</v>
      </c>
      <c r="P71" s="946">
        <f t="shared" ref="P71:Q71" si="1946">+P13</f>
        <v>2</v>
      </c>
      <c r="Q71" s="946" t="str">
        <f t="shared" si="1946"/>
        <v>ANTIOQUIA ZONA 2</v>
      </c>
      <c r="AD71" s="946"/>
      <c r="AE71" s="946" t="str">
        <f t="shared" ref="AE71" si="1947">+AE13</f>
        <v>ANTIOQUIA</v>
      </c>
      <c r="AR71" s="946">
        <f t="shared" ref="AR71:AS71" si="1948">+AR13</f>
        <v>3</v>
      </c>
      <c r="AS71" s="946" t="str">
        <f t="shared" si="1948"/>
        <v>ATLÁNTICO</v>
      </c>
      <c r="BF71" s="946">
        <f t="shared" ref="BF71:BG71" si="1949">+BF13</f>
        <v>4</v>
      </c>
      <c r="BG71" s="946" t="str">
        <f t="shared" si="1949"/>
        <v>BOLÍVAR</v>
      </c>
      <c r="BT71" s="946">
        <f t="shared" ref="BT71:BU71" si="1950">+BT13</f>
        <v>5</v>
      </c>
      <c r="BU71" s="946" t="str">
        <f t="shared" si="1950"/>
        <v>BOYACÁ</v>
      </c>
      <c r="CH71" s="946">
        <f t="shared" ref="CH71:CI71" si="1951">+CH13</f>
        <v>6</v>
      </c>
      <c r="CI71" s="946" t="str">
        <f t="shared" si="1951"/>
        <v>CALDAS</v>
      </c>
      <c r="CV71" s="946">
        <f t="shared" ref="CV71:CW71" si="1952">+CV13</f>
        <v>7</v>
      </c>
      <c r="CW71" s="946" t="str">
        <f t="shared" si="1952"/>
        <v>CAQUETÁ</v>
      </c>
      <c r="DJ71" s="946">
        <f t="shared" ref="DJ71:DK71" si="1953">+DJ13</f>
        <v>8</v>
      </c>
      <c r="DK71" s="946" t="str">
        <f t="shared" si="1953"/>
        <v>CAUCA</v>
      </c>
      <c r="DX71" s="946">
        <f t="shared" ref="DX71:DY71" si="1954">+DX13</f>
        <v>9</v>
      </c>
      <c r="DY71" s="946" t="str">
        <f t="shared" si="1954"/>
        <v>CESAR</v>
      </c>
      <c r="EL71" s="946">
        <f t="shared" ref="EL71:EM71" si="1955">+EL13</f>
        <v>10</v>
      </c>
      <c r="EM71" s="946" t="str">
        <f t="shared" si="1955"/>
        <v>CÓRDOBA</v>
      </c>
      <c r="EZ71" s="946">
        <f t="shared" ref="EZ71:FA71" si="1956">+EZ13</f>
        <v>11</v>
      </c>
      <c r="FA71" s="946" t="str">
        <f t="shared" si="1956"/>
        <v>CUNDINAMARCA</v>
      </c>
      <c r="FN71" s="946">
        <f t="shared" ref="FN71:FO71" si="1957">+FN13</f>
        <v>12</v>
      </c>
      <c r="FO71" s="946" t="str">
        <f t="shared" si="1957"/>
        <v>CHOCÓ</v>
      </c>
      <c r="GB71" s="946">
        <f t="shared" ref="GB71:GC71" si="1958">+GB13</f>
        <v>13</v>
      </c>
      <c r="GC71" s="946" t="str">
        <f t="shared" si="1958"/>
        <v>HUILA</v>
      </c>
      <c r="GP71" s="946">
        <f t="shared" ref="GP71:GQ71" si="1959">+GP13</f>
        <v>14</v>
      </c>
      <c r="GQ71" s="946" t="str">
        <f t="shared" si="1959"/>
        <v>LA GUAJIRA</v>
      </c>
      <c r="HD71" s="946">
        <f t="shared" ref="HD71:HE71" si="1960">+HD13</f>
        <v>15</v>
      </c>
      <c r="HE71" s="946" t="str">
        <f t="shared" si="1960"/>
        <v>MAGDALENA</v>
      </c>
      <c r="HR71" s="946">
        <f t="shared" ref="HR71:HS71" si="1961">+HR13</f>
        <v>16</v>
      </c>
      <c r="HS71" s="946" t="str">
        <f t="shared" si="1961"/>
        <v>META</v>
      </c>
      <c r="IF71" s="946">
        <f t="shared" ref="IF71:IG71" si="1962">+IF13</f>
        <v>17</v>
      </c>
      <c r="IG71" s="946" t="str">
        <f t="shared" si="1962"/>
        <v>NARIÑO ZONA 1</v>
      </c>
      <c r="IT71" s="946">
        <f t="shared" ref="IT71:IU71" si="1963">+IT13</f>
        <v>18</v>
      </c>
      <c r="IU71" s="946" t="str">
        <f t="shared" si="1963"/>
        <v>NARIÑO ZONA 2</v>
      </c>
      <c r="JH71" s="946"/>
      <c r="JI71" s="946" t="str">
        <f t="shared" ref="JI71" si="1964">+JI13</f>
        <v>NARIÑO</v>
      </c>
      <c r="JV71" s="946">
        <f t="shared" ref="JV71:JW71" si="1965">+JV13</f>
        <v>19</v>
      </c>
      <c r="JW71" s="946" t="str">
        <f t="shared" si="1965"/>
        <v>NORTE DE SANTANDER</v>
      </c>
      <c r="KJ71" s="946">
        <f t="shared" ref="KJ71:KK71" si="1966">+KJ13</f>
        <v>20</v>
      </c>
      <c r="KK71" s="946" t="str">
        <f t="shared" si="1966"/>
        <v>QUINDÍO</v>
      </c>
      <c r="KX71" s="946">
        <f t="shared" ref="KX71:KY71" si="1967">+KX13</f>
        <v>21</v>
      </c>
      <c r="KY71" s="946" t="str">
        <f t="shared" si="1967"/>
        <v>RISARALDA</v>
      </c>
      <c r="LL71" s="946">
        <f t="shared" ref="LL71:LM71" si="1968">+LL13</f>
        <v>22</v>
      </c>
      <c r="LM71" s="946" t="str">
        <f t="shared" si="1968"/>
        <v>SANTANDER</v>
      </c>
      <c r="LZ71" s="946">
        <f t="shared" ref="LZ71:MA71" si="1969">+LZ13</f>
        <v>23</v>
      </c>
      <c r="MA71" s="946" t="str">
        <f t="shared" si="1969"/>
        <v>SUCRE</v>
      </c>
      <c r="MN71" s="946">
        <f t="shared" ref="MN71:MO71" si="1970">+MN13</f>
        <v>24</v>
      </c>
      <c r="MO71" s="946" t="str">
        <f t="shared" si="1970"/>
        <v>TOLIMA</v>
      </c>
      <c r="NB71" s="946">
        <f t="shared" ref="NB71:NC71" si="1971">+NB13</f>
        <v>25</v>
      </c>
      <c r="NC71" s="946" t="str">
        <f t="shared" si="1971"/>
        <v>VALLE DEL CAUCA</v>
      </c>
      <c r="NP71" s="946">
        <f t="shared" ref="NP71:NQ71" si="1972">+NP13</f>
        <v>26</v>
      </c>
      <c r="NQ71" s="946" t="str">
        <f t="shared" si="1972"/>
        <v>ARAUCA</v>
      </c>
      <c r="OD71" s="946">
        <f t="shared" ref="OD71:OE71" si="1973">+OD13</f>
        <v>27</v>
      </c>
      <c r="OE71" s="946" t="str">
        <f t="shared" si="1973"/>
        <v>CASANARE</v>
      </c>
      <c r="OR71" s="946">
        <f t="shared" ref="OR71:OS71" si="1974">+OR13</f>
        <v>28</v>
      </c>
      <c r="OS71" s="946" t="str">
        <f t="shared" si="1974"/>
        <v>PUTUMAYO</v>
      </c>
      <c r="PF71" s="946">
        <f t="shared" ref="PF71:PG71" si="1975">+PF13</f>
        <v>29</v>
      </c>
      <c r="PG71" s="946" t="str">
        <f t="shared" si="1975"/>
        <v>SAN ANDRÉS</v>
      </c>
      <c r="PT71" s="946">
        <f t="shared" ref="PT71:PU71" si="1976">+PT13</f>
        <v>30</v>
      </c>
      <c r="PU71" s="946" t="str">
        <f t="shared" si="1976"/>
        <v>AMAZONAS</v>
      </c>
      <c r="QH71" s="946">
        <f t="shared" ref="QH71:QI71" si="1977">+QH13</f>
        <v>31</v>
      </c>
      <c r="QI71" s="946" t="str">
        <f t="shared" si="1977"/>
        <v>GUAINÍA</v>
      </c>
      <c r="QV71" s="946">
        <f t="shared" ref="QV71:QW71" si="1978">+QV13</f>
        <v>32</v>
      </c>
      <c r="QW71" s="946" t="str">
        <f t="shared" si="1978"/>
        <v>GUAVIARE</v>
      </c>
      <c r="RJ71" s="946">
        <f t="shared" ref="RJ71:RK71" si="1979">+RJ13</f>
        <v>33</v>
      </c>
      <c r="RK71" s="946" t="str">
        <f t="shared" si="1979"/>
        <v>VAUPÉS</v>
      </c>
      <c r="RX71" s="946">
        <f t="shared" ref="RX71:RY71" si="1980">+RX13</f>
        <v>34</v>
      </c>
      <c r="RY71" s="946" t="str">
        <f t="shared" si="1980"/>
        <v>VICHADA</v>
      </c>
      <c r="SL71" s="946">
        <f t="shared" ref="SL71:SM71" si="1981">+SL13</f>
        <v>35</v>
      </c>
      <c r="SM71" s="946" t="str">
        <f t="shared" si="1981"/>
        <v>BOGOTÁ</v>
      </c>
      <c r="SZ71" s="946"/>
      <c r="TA71" s="946" t="str">
        <f t="shared" ref="TA71" si="1982">+TA13</f>
        <v>TOTAL PAÍS</v>
      </c>
    </row>
    <row r="72" spans="1:531" ht="15.75" customHeight="1" thickBot="1"/>
    <row r="73" spans="1:531" ht="15.75" customHeight="1" thickBot="1">
      <c r="B73" s="953" t="s">
        <v>2372</v>
      </c>
      <c r="C73" s="953" t="s">
        <v>2366</v>
      </c>
      <c r="P73" s="953" t="s">
        <v>2372</v>
      </c>
      <c r="Q73" s="953" t="s">
        <v>2366</v>
      </c>
      <c r="AD73" s="953" t="s">
        <v>2372</v>
      </c>
      <c r="AE73" s="953" t="s">
        <v>2366</v>
      </c>
      <c r="AR73" s="953" t="s">
        <v>2372</v>
      </c>
      <c r="AS73" s="953" t="s">
        <v>2366</v>
      </c>
      <c r="BF73" s="953" t="s">
        <v>2372</v>
      </c>
      <c r="BG73" s="953" t="s">
        <v>2366</v>
      </c>
      <c r="BT73" s="953" t="s">
        <v>2372</v>
      </c>
      <c r="BU73" s="953" t="s">
        <v>2366</v>
      </c>
      <c r="CH73" s="953" t="s">
        <v>2372</v>
      </c>
      <c r="CI73" s="953" t="s">
        <v>2366</v>
      </c>
      <c r="CV73" s="953" t="s">
        <v>2372</v>
      </c>
      <c r="CW73" s="953" t="s">
        <v>2366</v>
      </c>
      <c r="DJ73" s="953" t="s">
        <v>2372</v>
      </c>
      <c r="DK73" s="953" t="s">
        <v>2366</v>
      </c>
      <c r="DX73" s="953" t="s">
        <v>2372</v>
      </c>
      <c r="DY73" s="953" t="s">
        <v>2366</v>
      </c>
      <c r="EL73" s="953" t="s">
        <v>2372</v>
      </c>
      <c r="EM73" s="953" t="s">
        <v>2366</v>
      </c>
      <c r="EZ73" s="953" t="s">
        <v>2372</v>
      </c>
      <c r="FA73" s="953" t="s">
        <v>2366</v>
      </c>
      <c r="FN73" s="953" t="s">
        <v>2372</v>
      </c>
      <c r="FO73" s="953" t="s">
        <v>2366</v>
      </c>
      <c r="GB73" s="953" t="s">
        <v>2372</v>
      </c>
      <c r="GC73" s="953" t="s">
        <v>2366</v>
      </c>
      <c r="GP73" s="953" t="s">
        <v>2372</v>
      </c>
      <c r="GQ73" s="953" t="s">
        <v>2366</v>
      </c>
      <c r="HD73" s="953" t="s">
        <v>2372</v>
      </c>
      <c r="HE73" s="953" t="s">
        <v>2366</v>
      </c>
      <c r="HR73" s="953" t="s">
        <v>2372</v>
      </c>
      <c r="HS73" s="953" t="s">
        <v>2366</v>
      </c>
      <c r="IF73" s="953" t="s">
        <v>2372</v>
      </c>
      <c r="IG73" s="953" t="s">
        <v>2366</v>
      </c>
      <c r="IT73" s="953" t="s">
        <v>2372</v>
      </c>
      <c r="IU73" s="953" t="s">
        <v>2366</v>
      </c>
      <c r="JH73" s="953" t="s">
        <v>2372</v>
      </c>
      <c r="JI73" s="953" t="s">
        <v>2366</v>
      </c>
      <c r="JV73" s="953" t="s">
        <v>2372</v>
      </c>
      <c r="JW73" s="953" t="s">
        <v>2366</v>
      </c>
      <c r="KJ73" s="953" t="s">
        <v>2372</v>
      </c>
      <c r="KK73" s="953" t="s">
        <v>2366</v>
      </c>
      <c r="KX73" s="953" t="s">
        <v>2372</v>
      </c>
      <c r="KY73" s="953" t="s">
        <v>2366</v>
      </c>
      <c r="LL73" s="953" t="s">
        <v>2372</v>
      </c>
      <c r="LM73" s="953" t="s">
        <v>2366</v>
      </c>
      <c r="LZ73" s="953" t="s">
        <v>2372</v>
      </c>
      <c r="MA73" s="953" t="s">
        <v>2366</v>
      </c>
      <c r="MN73" s="953" t="s">
        <v>2372</v>
      </c>
      <c r="MO73" s="953" t="s">
        <v>2366</v>
      </c>
      <c r="NB73" s="953" t="s">
        <v>2372</v>
      </c>
      <c r="NC73" s="953" t="s">
        <v>2366</v>
      </c>
      <c r="NP73" s="953" t="s">
        <v>2372</v>
      </c>
      <c r="NQ73" s="953" t="s">
        <v>2366</v>
      </c>
      <c r="OD73" s="953" t="s">
        <v>2372</v>
      </c>
      <c r="OE73" s="953" t="s">
        <v>2366</v>
      </c>
      <c r="OR73" s="953" t="s">
        <v>2372</v>
      </c>
      <c r="OS73" s="953" t="s">
        <v>2366</v>
      </c>
      <c r="PF73" s="953" t="s">
        <v>2372</v>
      </c>
      <c r="PG73" s="953" t="s">
        <v>2366</v>
      </c>
      <c r="PT73" s="953" t="s">
        <v>2372</v>
      </c>
      <c r="PU73" s="953" t="s">
        <v>2366</v>
      </c>
      <c r="QH73" s="953" t="s">
        <v>2372</v>
      </c>
      <c r="QI73" s="953" t="s">
        <v>2366</v>
      </c>
      <c r="QV73" s="953" t="s">
        <v>2372</v>
      </c>
      <c r="QW73" s="953" t="s">
        <v>2366</v>
      </c>
      <c r="RJ73" s="953" t="s">
        <v>2372</v>
      </c>
      <c r="RK73" s="953" t="s">
        <v>2366</v>
      </c>
      <c r="RX73" s="953" t="s">
        <v>2372</v>
      </c>
      <c r="RY73" s="953" t="s">
        <v>2366</v>
      </c>
      <c r="SL73" s="953" t="s">
        <v>2372</v>
      </c>
      <c r="SM73" s="953" t="s">
        <v>2366</v>
      </c>
      <c r="SZ73" s="953" t="s">
        <v>2372</v>
      </c>
      <c r="TA73" s="953" t="s">
        <v>2366</v>
      </c>
    </row>
    <row r="74" spans="1:531" ht="15.75" customHeight="1">
      <c r="B74" s="951">
        <f>+H21</f>
        <v>1008303541.7921667</v>
      </c>
      <c r="C74" s="957" t="s">
        <v>2367</v>
      </c>
      <c r="P74" s="951">
        <f t="shared" ref="P74" si="1983">+V21</f>
        <v>243980575.53849998</v>
      </c>
      <c r="Q74" s="957" t="s">
        <v>2367</v>
      </c>
      <c r="AD74" s="951">
        <f t="shared" ref="AD74" si="1984">+AJ21</f>
        <v>1252284117.3306668</v>
      </c>
      <c r="AE74" s="957" t="s">
        <v>2367</v>
      </c>
      <c r="AR74" s="951">
        <f t="shared" ref="AR74" si="1985">+AX21</f>
        <v>375446538.15366662</v>
      </c>
      <c r="AS74" s="957" t="s">
        <v>2367</v>
      </c>
      <c r="BF74" s="951">
        <f t="shared" ref="BF74" si="1986">+BL21</f>
        <v>532131238.47345835</v>
      </c>
      <c r="BG74" s="957" t="s">
        <v>2367</v>
      </c>
      <c r="BT74" s="951">
        <f t="shared" ref="BT74" si="1987">+BZ21</f>
        <v>463189970.33275008</v>
      </c>
      <c r="BU74" s="957" t="s">
        <v>2367</v>
      </c>
      <c r="CH74" s="951">
        <f t="shared" ref="CH74" si="1988">+CN21</f>
        <v>469457358.34554172</v>
      </c>
      <c r="CI74" s="957" t="s">
        <v>2367</v>
      </c>
      <c r="CV74" s="951">
        <f t="shared" ref="CV74" si="1989">+DB21</f>
        <v>256515351.56408334</v>
      </c>
      <c r="CW74" s="957" t="s">
        <v>2367</v>
      </c>
      <c r="DJ74" s="951">
        <f t="shared" ref="DJ74" si="1990">+DP21</f>
        <v>500794298.40950006</v>
      </c>
      <c r="DK74" s="957" t="s">
        <v>2367</v>
      </c>
      <c r="DX74" s="951">
        <f t="shared" ref="DX74" si="1991">+ED21</f>
        <v>369179150.14087504</v>
      </c>
      <c r="DY74" s="957" t="s">
        <v>2367</v>
      </c>
      <c r="EL74" s="951">
        <f t="shared" ref="EL74" si="1992">+ER21</f>
        <v>519596462.44787502</v>
      </c>
      <c r="EM74" s="957" t="s">
        <v>2367</v>
      </c>
      <c r="EZ74" s="951">
        <f t="shared" ref="EZ74" si="1993">+FF21</f>
        <v>557200790.52462506</v>
      </c>
      <c r="FA74" s="957" t="s">
        <v>2367</v>
      </c>
      <c r="FN74" s="951">
        <f t="shared" ref="FN74" si="1994">+FT21</f>
        <v>409917172.2240209</v>
      </c>
      <c r="FO74" s="957" t="s">
        <v>2367</v>
      </c>
      <c r="GB74" s="951">
        <f t="shared" ref="GB74" si="1995">+GH21</f>
        <v>322322925.69839579</v>
      </c>
      <c r="GC74" s="957" t="s">
        <v>2367</v>
      </c>
      <c r="GP74" s="951">
        <f t="shared" ref="GP74" si="1996">+GV21</f>
        <v>206376247.46174997</v>
      </c>
      <c r="GQ74" s="957" t="s">
        <v>2367</v>
      </c>
      <c r="HD74" s="951">
        <f t="shared" ref="HD74" si="1997">+HJ21</f>
        <v>632260261.02466667</v>
      </c>
      <c r="HE74" s="957" t="s">
        <v>2367</v>
      </c>
      <c r="HR74" s="951">
        <f t="shared" ref="HR74" si="1998">+HX21</f>
        <v>231445799.51291665</v>
      </c>
      <c r="HS74" s="957" t="s">
        <v>2367</v>
      </c>
      <c r="IF74" s="951">
        <f t="shared" ref="IF74" si="1999">+IL21</f>
        <v>156237143.35941666</v>
      </c>
      <c r="IG74" s="957" t="s">
        <v>2367</v>
      </c>
      <c r="IT74" s="951">
        <f t="shared" ref="IT74" si="2000">+IZ21</f>
        <v>920560109.61308336</v>
      </c>
      <c r="IU74" s="957" t="s">
        <v>2367</v>
      </c>
      <c r="JH74" s="951">
        <f t="shared" ref="JH74" si="2001">+JN21</f>
        <v>1076797252.9724998</v>
      </c>
      <c r="JI74" s="957" t="s">
        <v>2367</v>
      </c>
      <c r="JV74" s="951">
        <f t="shared" ref="JV74" si="2002">+KB21</f>
        <v>312921843.67920834</v>
      </c>
      <c r="JW74" s="957" t="s">
        <v>2367</v>
      </c>
      <c r="KJ74" s="951">
        <f t="shared" ref="KJ74" si="2003">+KP21</f>
        <v>193841471.43616664</v>
      </c>
      <c r="KK74" s="957" t="s">
        <v>2367</v>
      </c>
      <c r="KX74" s="951">
        <f t="shared" ref="KX74" si="2004">+LD21</f>
        <v>162504531.37220833</v>
      </c>
      <c r="KY74" s="957" t="s">
        <v>2367</v>
      </c>
      <c r="LL74" s="951">
        <f t="shared" ref="LL74" si="2005">+LR21</f>
        <v>403649784.21122921</v>
      </c>
      <c r="LM74" s="957" t="s">
        <v>2367</v>
      </c>
      <c r="LZ74" s="951">
        <f t="shared" ref="LZ74" si="2006">+MF21</f>
        <v>400516090.20483333</v>
      </c>
      <c r="MA74" s="957" t="s">
        <v>2367</v>
      </c>
      <c r="MN74" s="951">
        <f t="shared" ref="MN74" si="2007">+MT21</f>
        <v>419318254.24320835</v>
      </c>
      <c r="MO74" s="957" t="s">
        <v>2367</v>
      </c>
      <c r="NB74" s="951">
        <f t="shared" ref="NB74" si="2008">+NH21</f>
        <v>767009103.29968739</v>
      </c>
      <c r="NC74" s="957" t="s">
        <v>2367</v>
      </c>
      <c r="NP74" s="951">
        <f t="shared" ref="NP74" si="2009">+NV21</f>
        <v>131316776.96170834</v>
      </c>
      <c r="NQ74" s="957" t="s">
        <v>2367</v>
      </c>
      <c r="OD74" s="951">
        <f t="shared" ref="OD74" si="2010">+OJ21</f>
        <v>168771919.38499999</v>
      </c>
      <c r="OE74" s="957" t="s">
        <v>2367</v>
      </c>
      <c r="OR74" s="951">
        <f t="shared" ref="OR74" si="2011">+OX21</f>
        <v>212643635.47454166</v>
      </c>
      <c r="OS74" s="957" t="s">
        <v>2367</v>
      </c>
      <c r="PF74" s="951">
        <f t="shared" ref="PF74" si="2012">+PL21</f>
        <v>59241814.814604163</v>
      </c>
      <c r="PG74" s="957" t="s">
        <v>2367</v>
      </c>
      <c r="PT74" s="951">
        <f t="shared" ref="PT74" si="2013">+PZ21</f>
        <v>87445060.872166663</v>
      </c>
      <c r="PU74" s="957" t="s">
        <v>2367</v>
      </c>
      <c r="QH74" s="951">
        <f t="shared" ref="QH74" si="2014">+QN21</f>
        <v>37305956.769833334</v>
      </c>
      <c r="QI74" s="957" t="s">
        <v>2367</v>
      </c>
      <c r="QV74" s="951">
        <f t="shared" ref="QV74" si="2015">+RB21</f>
        <v>74910284.846583337</v>
      </c>
      <c r="QW74" s="957" t="s">
        <v>2367</v>
      </c>
      <c r="RJ74" s="951">
        <f t="shared" ref="RJ74" si="2016">+RP21</f>
        <v>37305956.769833334</v>
      </c>
      <c r="RK74" s="957" t="s">
        <v>2367</v>
      </c>
      <c r="RX74" s="951">
        <f t="shared" ref="RX74" si="2017">+SD21</f>
        <v>52974426.8018125</v>
      </c>
      <c r="RY74" s="957" t="s">
        <v>2367</v>
      </c>
      <c r="SL74" s="951">
        <f t="shared" ref="SL74" si="2018">+SR21</f>
        <v>0</v>
      </c>
      <c r="SM74" s="957" t="s">
        <v>2367</v>
      </c>
      <c r="SZ74" s="951">
        <f t="shared" ref="SZ74" si="2019">+TF21</f>
        <v>11696591845.759918</v>
      </c>
      <c r="TA74" s="957" t="s">
        <v>2367</v>
      </c>
    </row>
    <row r="75" spans="1:531" ht="15.75" customHeight="1">
      <c r="B75" s="952">
        <f>+H26</f>
        <v>183837592.79378265</v>
      </c>
      <c r="C75" s="958" t="s">
        <v>1576</v>
      </c>
      <c r="P75" s="952">
        <f t="shared" ref="P75" si="2020">+V26</f>
        <v>42455218.239408858</v>
      </c>
      <c r="Q75" s="958" t="s">
        <v>1576</v>
      </c>
      <c r="AD75" s="952">
        <f t="shared" ref="AD75" si="2021">+AJ26</f>
        <v>226292811.0331915</v>
      </c>
      <c r="AE75" s="958" t="s">
        <v>1576</v>
      </c>
      <c r="AR75" s="952">
        <f t="shared" ref="AR75" si="2022">+AX26</f>
        <v>45682660.722315401</v>
      </c>
      <c r="AS75" s="958" t="s">
        <v>1576</v>
      </c>
      <c r="BF75" s="952">
        <f t="shared" ref="BF75" si="2023">+BL26</f>
        <v>66055854.657594405</v>
      </c>
      <c r="BG75" s="958" t="s">
        <v>1576</v>
      </c>
      <c r="BT75" s="952">
        <f t="shared" ref="BT75" si="2024">+BZ26</f>
        <v>41714528.877215654</v>
      </c>
      <c r="BU75" s="958" t="s">
        <v>1576</v>
      </c>
      <c r="CH75" s="952">
        <f t="shared" ref="CH75" si="2025">+CN26</f>
        <v>25374535.062271141</v>
      </c>
      <c r="CI75" s="958" t="s">
        <v>1576</v>
      </c>
      <c r="CV75" s="952">
        <f t="shared" ref="CV75" si="2026">+DB26</f>
        <v>23773217.083128672</v>
      </c>
      <c r="CW75" s="958" t="s">
        <v>1576</v>
      </c>
      <c r="DJ75" s="952">
        <f t="shared" ref="DJ75" si="2027">+DP26</f>
        <v>81473974.50268203</v>
      </c>
      <c r="DK75" s="958" t="s">
        <v>1576</v>
      </c>
      <c r="DX75" s="952">
        <f t="shared" ref="DX75" si="2028">+ED26</f>
        <v>44867732.964904234</v>
      </c>
      <c r="DY75" s="958" t="s">
        <v>1576</v>
      </c>
      <c r="EL75" s="952">
        <f t="shared" ref="EL75" si="2029">+ER26</f>
        <v>64425999.142772079</v>
      </c>
      <c r="EM75" s="958" t="s">
        <v>1576</v>
      </c>
      <c r="EZ75" s="952">
        <f t="shared" ref="EZ75" si="2030">+FF26</f>
        <v>70918158.550672919</v>
      </c>
      <c r="FA75" s="958" t="s">
        <v>1576</v>
      </c>
      <c r="FN75" s="952">
        <f t="shared" ref="FN75" si="2031">+FT26</f>
        <v>50164763.388076782</v>
      </c>
      <c r="FO75" s="958" t="s">
        <v>1576</v>
      </c>
      <c r="GB75" s="952">
        <f t="shared" ref="GB75" si="2032">+GH26</f>
        <v>24268549.769402295</v>
      </c>
      <c r="GC75" s="958" t="s">
        <v>1576</v>
      </c>
      <c r="GP75" s="952">
        <f t="shared" ref="GP75" si="2033">+GV26</f>
        <v>13408606.518712083</v>
      </c>
      <c r="GQ75" s="958" t="s">
        <v>1576</v>
      </c>
      <c r="HD75" s="952">
        <f t="shared" ref="HD75" si="2034">+HJ26</f>
        <v>78291447.595584422</v>
      </c>
      <c r="HE75" s="958" t="s">
        <v>1576</v>
      </c>
      <c r="HR75" s="952">
        <f t="shared" ref="HR75" si="2035">+HX26</f>
        <v>15193862.742140623</v>
      </c>
      <c r="HS75" s="958" t="s">
        <v>1576</v>
      </c>
      <c r="IF75" s="952">
        <f t="shared" ref="IF75" si="2036">+IL26</f>
        <v>17789503.316291302</v>
      </c>
      <c r="IG75" s="958" t="s">
        <v>1576</v>
      </c>
      <c r="IT75" s="952">
        <f t="shared" ref="IT75" si="2037">+IZ26</f>
        <v>114657063.65250628</v>
      </c>
      <c r="IU75" s="958" t="s">
        <v>1576</v>
      </c>
      <c r="JH75" s="952">
        <f t="shared" ref="JH75" si="2038">+JN26</f>
        <v>132446566.96879758</v>
      </c>
      <c r="JI75" s="958" t="s">
        <v>1576</v>
      </c>
      <c r="JV75" s="952">
        <f t="shared" ref="JV75" si="2039">+KB26</f>
        <v>43673687.759211145</v>
      </c>
      <c r="JW75" s="958" t="s">
        <v>1576</v>
      </c>
      <c r="KJ75" s="952">
        <f t="shared" ref="KJ75" si="2040">+KP26</f>
        <v>22853006.937980309</v>
      </c>
      <c r="KK75" s="958" t="s">
        <v>1576</v>
      </c>
      <c r="KX75" s="952">
        <f t="shared" ref="KX75" si="2041">+LD26</f>
        <v>11520095.627812494</v>
      </c>
      <c r="KY75" s="958" t="s">
        <v>1576</v>
      </c>
      <c r="LL75" s="952">
        <f t="shared" ref="LL75" si="2042">+LR26</f>
        <v>49349835.630665623</v>
      </c>
      <c r="LM75" s="958" t="s">
        <v>1576</v>
      </c>
      <c r="LZ75" s="952">
        <f t="shared" ref="LZ75" si="2043">+MF26</f>
        <v>48942371.751960039</v>
      </c>
      <c r="MA75" s="958" t="s">
        <v>1576</v>
      </c>
      <c r="MN75" s="952">
        <f t="shared" ref="MN75" si="2044">+MT26</f>
        <v>25254392.756678045</v>
      </c>
      <c r="MO75" s="958" t="s">
        <v>1576</v>
      </c>
      <c r="NB75" s="952">
        <f t="shared" ref="NB75" si="2045">+NH26</f>
        <v>113770709.97509444</v>
      </c>
      <c r="NC75" s="958" t="s">
        <v>1576</v>
      </c>
      <c r="NP75" s="952">
        <f t="shared" ref="NP75" si="2046">+NV26</f>
        <v>5814543.1445722058</v>
      </c>
      <c r="NQ75" s="958" t="s">
        <v>1576</v>
      </c>
      <c r="OD75" s="952">
        <f t="shared" ref="OD75" si="2047">+OJ26</f>
        <v>17171478.579877224</v>
      </c>
      <c r="OE75" s="958" t="s">
        <v>1576</v>
      </c>
      <c r="OR75" s="952">
        <f t="shared" ref="OR75" si="2048">+OX26</f>
        <v>15934533.404813053</v>
      </c>
      <c r="OS75" s="958" t="s">
        <v>1576</v>
      </c>
      <c r="PF75" s="952">
        <f t="shared" ref="PF75" si="2049">+PL26</f>
        <v>2300514.4267758853</v>
      </c>
      <c r="PG75" s="958" t="s">
        <v>1576</v>
      </c>
      <c r="PT75" s="952">
        <f t="shared" ref="PT75" si="2050">+PZ26</f>
        <v>3675569.1424353146</v>
      </c>
      <c r="PU75" s="958" t="s">
        <v>1576</v>
      </c>
      <c r="QH75" s="952">
        <f t="shared" ref="QH75" si="2051">+QN26</f>
        <v>1231027.4257074401</v>
      </c>
      <c r="QI75" s="958" t="s">
        <v>1576</v>
      </c>
      <c r="QV75" s="952">
        <f t="shared" ref="QV75" si="2052">+RB26</f>
        <v>3064433.7132533463</v>
      </c>
      <c r="QW75" s="958" t="s">
        <v>1576</v>
      </c>
      <c r="RJ75" s="952">
        <f t="shared" ref="RJ75" si="2053">+RP26</f>
        <v>1438631.5238504603</v>
      </c>
      <c r="RK75" s="958" t="s">
        <v>1576</v>
      </c>
      <c r="RX75" s="952">
        <f t="shared" ref="RX75" si="2054">+SD26</f>
        <v>1994946.7121849011</v>
      </c>
      <c r="RY75" s="958" t="s">
        <v>1576</v>
      </c>
      <c r="SL75" s="952">
        <f t="shared" ref="SL75" si="2055">+SR26</f>
        <v>0</v>
      </c>
      <c r="SM75" s="958" t="s">
        <v>1576</v>
      </c>
      <c r="SZ75" s="952">
        <f t="shared" ref="SZ75" si="2056">+TF26</f>
        <v>1372343048.0923336</v>
      </c>
      <c r="TA75" s="958" t="s">
        <v>1576</v>
      </c>
    </row>
    <row r="76" spans="1:531" ht="15.75" customHeight="1">
      <c r="B76" s="952">
        <f>+H35</f>
        <v>1495706996.5845997</v>
      </c>
      <c r="C76" s="958" t="s">
        <v>2368</v>
      </c>
      <c r="P76" s="952">
        <f t="shared" ref="P76" si="2057">+V35</f>
        <v>345544442.90413839</v>
      </c>
      <c r="Q76" s="958" t="s">
        <v>2368</v>
      </c>
      <c r="AD76" s="952">
        <f t="shared" ref="AD76" si="2058">+AJ35</f>
        <v>1841251439.4887381</v>
      </c>
      <c r="AE76" s="958" t="s">
        <v>2368</v>
      </c>
      <c r="AR76" s="952">
        <f t="shared" ref="AR76" si="2059">+AX35</f>
        <v>537375889.85088193</v>
      </c>
      <c r="AS76" s="958" t="s">
        <v>2368</v>
      </c>
      <c r="BF76" s="952">
        <f t="shared" ref="BF76" si="2060">+BL35</f>
        <v>776907033.53431141</v>
      </c>
      <c r="BG76" s="958" t="s">
        <v>2368</v>
      </c>
      <c r="BT76" s="952">
        <f t="shared" ref="BT76" si="2061">+BZ35</f>
        <v>671513330.31360245</v>
      </c>
      <c r="BU76" s="958" t="s">
        <v>2368</v>
      </c>
      <c r="CH76" s="952">
        <f t="shared" ref="CH76" si="2062">+CN35</f>
        <v>681094576.06093955</v>
      </c>
      <c r="CI76" s="958" t="s">
        <v>2368</v>
      </c>
      <c r="CV76" s="952">
        <f t="shared" ref="CV76" si="2063">+DB35</f>
        <v>364706934.39881277</v>
      </c>
      <c r="CW76" s="958" t="s">
        <v>2368</v>
      </c>
      <c r="DJ76" s="952">
        <f t="shared" ref="DJ76" si="2064">+DP35</f>
        <v>729000804.79762554</v>
      </c>
      <c r="DK76" s="958" t="s">
        <v>2368</v>
      </c>
      <c r="DX76" s="952">
        <f t="shared" ref="DX76" si="2065">+ED35</f>
        <v>527794644.10354471</v>
      </c>
      <c r="DY76" s="958" t="s">
        <v>2368</v>
      </c>
      <c r="EL76" s="952">
        <f t="shared" ref="EL76" si="2066">+ER35</f>
        <v>757744542.03963697</v>
      </c>
      <c r="EM76" s="958" t="s">
        <v>2368</v>
      </c>
      <c r="EZ76" s="952">
        <f t="shared" ref="EZ76" si="2067">+FF35</f>
        <v>815232016.52366018</v>
      </c>
      <c r="FA76" s="958" t="s">
        <v>2368</v>
      </c>
      <c r="FN76" s="952">
        <f t="shared" ref="FN76" si="2068">+FT35</f>
        <v>590072741.46123648</v>
      </c>
      <c r="FO76" s="958" t="s">
        <v>2368</v>
      </c>
      <c r="GB76" s="952">
        <f t="shared" ref="GB76" si="2069">+GH35</f>
        <v>465310014.74585307</v>
      </c>
      <c r="GC76" s="958" t="s">
        <v>2368</v>
      </c>
      <c r="GP76" s="952">
        <f t="shared" ref="GP76" si="2070">+GV35</f>
        <v>288056968.42011529</v>
      </c>
      <c r="GQ76" s="958" t="s">
        <v>2368</v>
      </c>
      <c r="HD76" s="952">
        <f t="shared" ref="HD76" si="2071">+HJ35</f>
        <v>920832251.74436903</v>
      </c>
      <c r="HE76" s="958" t="s">
        <v>2368</v>
      </c>
      <c r="HR76" s="952">
        <f t="shared" ref="HR76" si="2072">+HX35</f>
        <v>326381951.409464</v>
      </c>
      <c r="HS76" s="958" t="s">
        <v>2368</v>
      </c>
      <c r="IF76" s="952">
        <f t="shared" ref="IF76" si="2073">+IL35</f>
        <v>211407002.4414179</v>
      </c>
      <c r="IG76" s="958" t="s">
        <v>2368</v>
      </c>
      <c r="IT76" s="952">
        <f t="shared" ref="IT76" si="2074">+IZ35</f>
        <v>1361569556.1218791</v>
      </c>
      <c r="IU76" s="958" t="s">
        <v>2368</v>
      </c>
      <c r="JH76" s="952">
        <f t="shared" ref="JH76" si="2075">+JN35</f>
        <v>1572976558.563297</v>
      </c>
      <c r="JI76" s="958" t="s">
        <v>2368</v>
      </c>
      <c r="JV76" s="952">
        <f t="shared" ref="JV76" si="2076">+KB35</f>
        <v>450938146.12484735</v>
      </c>
      <c r="JW76" s="958" t="s">
        <v>2368</v>
      </c>
      <c r="KJ76" s="952">
        <f t="shared" ref="KJ76" si="2077">+KP35</f>
        <v>268894476.92544097</v>
      </c>
      <c r="KK76" s="958" t="s">
        <v>2368</v>
      </c>
      <c r="KX76" s="952">
        <f t="shared" ref="KX76" si="2078">+LD35</f>
        <v>220988248.18875507</v>
      </c>
      <c r="KY76" s="958" t="s">
        <v>2368</v>
      </c>
      <c r="LL76" s="952">
        <f t="shared" ref="LL76" si="2079">+LR35</f>
        <v>580491495.71389925</v>
      </c>
      <c r="LM76" s="958" t="s">
        <v>2368</v>
      </c>
      <c r="LZ76" s="952">
        <f t="shared" ref="LZ76" si="2080">+MF35</f>
        <v>575700872.84023058</v>
      </c>
      <c r="MA76" s="958" t="s">
        <v>2368</v>
      </c>
      <c r="MN76" s="952">
        <f t="shared" ref="MN76" si="2081">+MT35</f>
        <v>604444610.08224225</v>
      </c>
      <c r="MO76" s="958" t="s">
        <v>2368</v>
      </c>
      <c r="NB76" s="952">
        <f t="shared" ref="NB76" si="2082">+NH35</f>
        <v>1126829035.3121183</v>
      </c>
      <c r="NC76" s="958" t="s">
        <v>2368</v>
      </c>
      <c r="NP76" s="952">
        <f t="shared" ref="NP76" si="2083">+NV35</f>
        <v>182456733.19940639</v>
      </c>
      <c r="NQ76" s="958" t="s">
        <v>2368</v>
      </c>
      <c r="OD76" s="952">
        <f t="shared" ref="OD76" si="2084">+OJ35</f>
        <v>230569493.93609226</v>
      </c>
      <c r="OE76" s="958" t="s">
        <v>2368</v>
      </c>
      <c r="OR76" s="952">
        <f t="shared" ref="OR76" si="2085">+OX35</f>
        <v>297638214.16745245</v>
      </c>
      <c r="OS76" s="958" t="s">
        <v>2368</v>
      </c>
      <c r="PF76" s="952">
        <f t="shared" ref="PF76" si="2086">+PL35</f>
        <v>72272407.105028823</v>
      </c>
      <c r="PG76" s="958" t="s">
        <v>2368</v>
      </c>
      <c r="PT76" s="952">
        <f t="shared" ref="PT76" si="2087">+PZ35</f>
        <v>115388012.96804613</v>
      </c>
      <c r="PU76" s="958" t="s">
        <v>2368</v>
      </c>
      <c r="QH76" s="952">
        <f t="shared" ref="QH76" si="2088">+QN35</f>
        <v>38738046.98934871</v>
      </c>
      <c r="QI76" s="958" t="s">
        <v>2368</v>
      </c>
      <c r="QV76" s="952">
        <f t="shared" ref="QV76" si="2089">+RB35</f>
        <v>96225521.473371774</v>
      </c>
      <c r="QW76" s="958" t="s">
        <v>2368</v>
      </c>
      <c r="RJ76" s="952">
        <f t="shared" ref="RJ76" si="2090">+RP35</f>
        <v>38738046.98934871</v>
      </c>
      <c r="RK76" s="958" t="s">
        <v>2368</v>
      </c>
      <c r="RX76" s="952">
        <f t="shared" ref="RX76" si="2091">+SD35</f>
        <v>62691161.357691653</v>
      </c>
      <c r="RY76" s="958" t="s">
        <v>2368</v>
      </c>
      <c r="SL76" s="952">
        <f t="shared" ref="SL76" si="2092">+SR35</f>
        <v>0</v>
      </c>
      <c r="SM76" s="958" t="s">
        <v>2368</v>
      </c>
      <c r="SZ76" s="952">
        <f t="shared" ref="SZ76" si="2093">+TF35</f>
        <v>16829256220.829409</v>
      </c>
      <c r="TA76" s="958" t="s">
        <v>2368</v>
      </c>
    </row>
    <row r="77" spans="1:531" ht="15.75" customHeight="1">
      <c r="B77" s="952">
        <f>+H41</f>
        <v>184117596.98518264</v>
      </c>
      <c r="C77" s="958" t="s">
        <v>2369</v>
      </c>
      <c r="P77" s="952">
        <f t="shared" ref="P77" si="2094">+V41</f>
        <v>43290646.212720238</v>
      </c>
      <c r="Q77" s="958" t="s">
        <v>2369</v>
      </c>
      <c r="AD77" s="952">
        <f t="shared" ref="AD77" si="2095">+AJ41</f>
        <v>227408243.19790286</v>
      </c>
      <c r="AE77" s="958" t="s">
        <v>2369</v>
      </c>
      <c r="AR77" s="952">
        <f t="shared" ref="AR77" si="2096">+AX41</f>
        <v>65657598.577790186</v>
      </c>
      <c r="AS77" s="958" t="s">
        <v>2369</v>
      </c>
      <c r="BF77" s="952">
        <f t="shared" ref="BF77" si="2097">+BL41</f>
        <v>94193947.676577464</v>
      </c>
      <c r="BG77" s="958" t="s">
        <v>2369</v>
      </c>
      <c r="BT77" s="952">
        <f t="shared" ref="BT77" si="2098">+BZ41</f>
        <v>80584621.32236442</v>
      </c>
      <c r="BU77" s="958" t="s">
        <v>2369</v>
      </c>
      <c r="CH77" s="952">
        <f t="shared" ref="CH77" si="2099">+CN41</f>
        <v>80550963.158609539</v>
      </c>
      <c r="CI77" s="958" t="s">
        <v>2369</v>
      </c>
      <c r="CV77" s="952">
        <f t="shared" ref="CV77" si="2100">+DB41</f>
        <v>44182191.958652705</v>
      </c>
      <c r="CW77" s="958" t="s">
        <v>2369</v>
      </c>
      <c r="DJ77" s="952">
        <f t="shared" ref="DJ77" si="2101">+DP41</f>
        <v>89821931.823121831</v>
      </c>
      <c r="DK77" s="958" t="s">
        <v>2369</v>
      </c>
      <c r="DX77" s="952">
        <f t="shared" ref="DX77" si="2102">+ED41</f>
        <v>64516144.613838702</v>
      </c>
      <c r="DY77" s="958" t="s">
        <v>2369</v>
      </c>
      <c r="EL77" s="952">
        <f t="shared" ref="EL77" si="2103">+ER41</f>
        <v>91911039.748674467</v>
      </c>
      <c r="EM77" s="958" t="s">
        <v>2369</v>
      </c>
      <c r="EZ77" s="952">
        <f t="shared" ref="EZ77" si="2104">+FF41</f>
        <v>98869541.143528625</v>
      </c>
      <c r="FA77" s="958" t="s">
        <v>2369</v>
      </c>
      <c r="FN77" s="952">
        <f t="shared" ref="FN77" si="2105">+FT41</f>
        <v>71935595.379523396</v>
      </c>
      <c r="FO77" s="958" t="s">
        <v>2369</v>
      </c>
      <c r="GB77" s="952">
        <f t="shared" ref="GB77" si="2106">+GH41</f>
        <v>55615252.079635113</v>
      </c>
      <c r="GC77" s="958" t="s">
        <v>2369</v>
      </c>
      <c r="GP77" s="952">
        <f t="shared" ref="GP77" si="2107">+GV41</f>
        <v>34787164.834439546</v>
      </c>
      <c r="GQ77" s="958" t="s">
        <v>2369</v>
      </c>
      <c r="HD77" s="952">
        <f t="shared" ref="HD77" si="2108">+HJ41</f>
        <v>111749801.2849765</v>
      </c>
      <c r="HE77" s="958" t="s">
        <v>2369</v>
      </c>
      <c r="HR77" s="952">
        <f t="shared" ref="HR77" si="2109">+HX41</f>
        <v>39251980.536019705</v>
      </c>
      <c r="HS77" s="958" t="s">
        <v>2369</v>
      </c>
      <c r="IF77" s="952">
        <f t="shared" ref="IF77" si="2110">+IL41</f>
        <v>26402204.964523125</v>
      </c>
      <c r="IG77" s="958" t="s">
        <v>2369</v>
      </c>
      <c r="IT77" s="952">
        <f t="shared" ref="IT77" si="2111">+IZ41</f>
        <v>164179890.96304163</v>
      </c>
      <c r="IU77" s="958" t="s">
        <v>2369</v>
      </c>
      <c r="JH77" s="952">
        <f t="shared" ref="JH77" si="2112">+JN41</f>
        <v>190582095.92756477</v>
      </c>
      <c r="JI77" s="958" t="s">
        <v>2369</v>
      </c>
      <c r="JV77" s="952">
        <f t="shared" ref="JV77" si="2113">+KB41</f>
        <v>55316056.913083777</v>
      </c>
      <c r="JW77" s="958" t="s">
        <v>2369</v>
      </c>
      <c r="KJ77" s="952">
        <f t="shared" ref="KJ77" si="2114">+KP41</f>
        <v>33262843.438021775</v>
      </c>
      <c r="KK77" s="958" t="s">
        <v>2369</v>
      </c>
      <c r="KX77" s="952">
        <f t="shared" ref="KX77" si="2115">+LD41</f>
        <v>27058381.950431149</v>
      </c>
      <c r="KY77" s="958" t="s">
        <v>2369</v>
      </c>
      <c r="LL77" s="952">
        <f t="shared" ref="LL77" si="2116">+LR41</f>
        <v>70794141.415571898</v>
      </c>
      <c r="LM77" s="958" t="s">
        <v>2369</v>
      </c>
      <c r="LZ77" s="952">
        <f t="shared" ref="LZ77" si="2117">+MF41</f>
        <v>70223414.433596149</v>
      </c>
      <c r="MA77" s="958" t="s">
        <v>2369</v>
      </c>
      <c r="MN77" s="952">
        <f t="shared" ref="MN77" si="2118">+MT41</f>
        <v>71857682.110125825</v>
      </c>
      <c r="MO77" s="958" t="s">
        <v>2369</v>
      </c>
      <c r="NB77" s="952">
        <f t="shared" ref="NB77" si="2119">+NH41</f>
        <v>137521206.12820268</v>
      </c>
      <c r="NC77" s="958" t="s">
        <v>2369</v>
      </c>
      <c r="NP77" s="952">
        <f t="shared" ref="NP77" si="2120">+NV41</f>
        <v>21891781.651439559</v>
      </c>
      <c r="NQ77" s="958" t="s">
        <v>2369</v>
      </c>
      <c r="OD77" s="952">
        <f t="shared" ref="OD77" si="2121">+OJ41</f>
        <v>28531133.095216412</v>
      </c>
      <c r="OE77" s="958" t="s">
        <v>2369</v>
      </c>
      <c r="OR77" s="952">
        <f t="shared" ref="OR77" si="2122">+OX41</f>
        <v>36045822.238706291</v>
      </c>
      <c r="OS77" s="958" t="s">
        <v>2369</v>
      </c>
      <c r="PF77" s="952">
        <f t="shared" ref="PF77" si="2123">+PL41</f>
        <v>9166309.4397290088</v>
      </c>
      <c r="PG77" s="958" t="s">
        <v>2369</v>
      </c>
      <c r="PT77" s="952">
        <f t="shared" ref="PT77" si="2124">+PZ41</f>
        <v>14145842.044311397</v>
      </c>
      <c r="PU77" s="958" t="s">
        <v>2369</v>
      </c>
      <c r="QH77" s="952">
        <f t="shared" ref="QH77" si="2125">+QN41</f>
        <v>5293339.6361649297</v>
      </c>
      <c r="QI77" s="958" t="s">
        <v>2369</v>
      </c>
      <c r="QV77" s="952">
        <f t="shared" ref="QV77" si="2126">+RB41</f>
        <v>11932716.442274781</v>
      </c>
      <c r="QW77" s="958" t="s">
        <v>2369</v>
      </c>
      <c r="RJ77" s="952">
        <f t="shared" ref="RJ77" si="2127">+RP41</f>
        <v>5307560.5168877272</v>
      </c>
      <c r="RK77" s="958" t="s">
        <v>2369</v>
      </c>
      <c r="RX77" s="952">
        <f t="shared" ref="RX77" si="2128">+SD41</f>
        <v>8059746.6387107009</v>
      </c>
      <c r="RY77" s="958" t="s">
        <v>2369</v>
      </c>
      <c r="SL77" s="952">
        <f t="shared" ref="SL77" si="2129">+SR41</f>
        <v>0</v>
      </c>
      <c r="SM77" s="958" t="s">
        <v>2369</v>
      </c>
      <c r="SZ77" s="952">
        <f t="shared" ref="SZ77" si="2130">+TF41</f>
        <v>2048026091.3556938</v>
      </c>
      <c r="TA77" s="958" t="s">
        <v>2369</v>
      </c>
    </row>
    <row r="78" spans="1:531" ht="15.75" customHeight="1">
      <c r="B78" s="952">
        <f>+H48</f>
        <v>27743188.933984373</v>
      </c>
      <c r="C78" s="959" t="s">
        <v>2370</v>
      </c>
      <c r="P78" s="952">
        <f t="shared" ref="P78" si="2131">+V48</f>
        <v>6523116.7287634546</v>
      </c>
      <c r="Q78" s="959" t="s">
        <v>2370</v>
      </c>
      <c r="AD78" s="952">
        <f t="shared" ref="AD78" si="2132">+AJ48</f>
        <v>34266305.662747823</v>
      </c>
      <c r="AE78" s="959" t="s">
        <v>2370</v>
      </c>
      <c r="AR78" s="952">
        <f t="shared" ref="AR78" si="2133">+AX48</f>
        <v>9893411.5593629591</v>
      </c>
      <c r="AS78" s="959" t="s">
        <v>2370</v>
      </c>
      <c r="BF78" s="952">
        <f t="shared" ref="BF78" si="2134">+BL48</f>
        <v>14193322.798143158</v>
      </c>
      <c r="BG78" s="959" t="s">
        <v>2370</v>
      </c>
      <c r="BT78" s="952">
        <f t="shared" ref="BT78" si="2135">+BZ48</f>
        <v>12142643.675171709</v>
      </c>
      <c r="BU78" s="959" t="s">
        <v>2370</v>
      </c>
      <c r="CH78" s="952">
        <f t="shared" ref="CH78" si="2136">+CN48</f>
        <v>12137571.999180317</v>
      </c>
      <c r="CI78" s="959" t="s">
        <v>2370</v>
      </c>
      <c r="CV78" s="952">
        <f t="shared" ref="CV78" si="2137">+DB48</f>
        <v>6657456.5337451855</v>
      </c>
      <c r="CW78" s="959" t="s">
        <v>2370</v>
      </c>
      <c r="DJ78" s="952">
        <f t="shared" ref="DJ78" si="2138">+DP48</f>
        <v>13534539.152088098</v>
      </c>
      <c r="DK78" s="959" t="s">
        <v>2370</v>
      </c>
      <c r="DX78" s="952">
        <f t="shared" ref="DX78" si="2139">+ED48</f>
        <v>9721415.1098117512</v>
      </c>
      <c r="DY78" s="959" t="s">
        <v>2370</v>
      </c>
      <c r="EL78" s="952">
        <f t="shared" ref="EL78" si="2140">+ER48</f>
        <v>13849329.899040738</v>
      </c>
      <c r="EM78" s="959" t="s">
        <v>2370</v>
      </c>
      <c r="EZ78" s="952">
        <f t="shared" ref="EZ78" si="2141">+FF48</f>
        <v>14897850.095132422</v>
      </c>
      <c r="FA78" s="959" t="s">
        <v>2370</v>
      </c>
      <c r="FN78" s="952">
        <f t="shared" ref="FN78" si="2142">+FT48</f>
        <v>10839392.031894604</v>
      </c>
      <c r="FO78" s="959" t="s">
        <v>2370</v>
      </c>
      <c r="GB78" s="952">
        <f t="shared" ref="GB78" si="2143">+GH48</f>
        <v>8380211.7305531465</v>
      </c>
      <c r="GC78" s="959" t="s">
        <v>2370</v>
      </c>
      <c r="GP78" s="952">
        <f t="shared" ref="GP78" si="2144">+GV48</f>
        <v>5241796.0166902626</v>
      </c>
      <c r="GQ78" s="959" t="s">
        <v>2370</v>
      </c>
      <c r="HD78" s="952">
        <f t="shared" ref="HD78" si="2145">+HJ48</f>
        <v>16838672.137535103</v>
      </c>
      <c r="HE78" s="959" t="s">
        <v>2370</v>
      </c>
      <c r="HR78" s="952">
        <f t="shared" ref="HR78" si="2146">+HX48</f>
        <v>5914562.9199772254</v>
      </c>
      <c r="HS78" s="959" t="s">
        <v>2370</v>
      </c>
      <c r="IF78" s="952">
        <f t="shared" ref="IF78" si="2147">+IL48</f>
        <v>3978334.3504287293</v>
      </c>
      <c r="IG78" s="959" t="s">
        <v>2370</v>
      </c>
      <c r="IT78" s="952">
        <f t="shared" ref="IT78" si="2148">+IZ48</f>
        <v>24738937.552585933</v>
      </c>
      <c r="IU78" s="959" t="s">
        <v>2370</v>
      </c>
      <c r="JH78" s="952">
        <f t="shared" ref="JH78" si="2149">+JN48</f>
        <v>28717271.90301466</v>
      </c>
      <c r="JI78" s="959" t="s">
        <v>2370</v>
      </c>
      <c r="JV78" s="952">
        <f t="shared" ref="JV78" si="2150">+KB48</f>
        <v>8335128.4350415468</v>
      </c>
      <c r="JW78" s="959" t="s">
        <v>2370</v>
      </c>
      <c r="KJ78" s="952">
        <f t="shared" ref="KJ78" si="2151">+KP48</f>
        <v>5012108.37580531</v>
      </c>
      <c r="KK78" s="959" t="s">
        <v>2370</v>
      </c>
      <c r="KX78" s="952">
        <f t="shared" ref="KX78" si="2152">+LD48</f>
        <v>4077208.3439647402</v>
      </c>
      <c r="KY78" s="959" t="s">
        <v>2370</v>
      </c>
      <c r="LL78" s="952">
        <f t="shared" ref="LL78" si="2153">+LR48</f>
        <v>10667395.582343396</v>
      </c>
      <c r="LM78" s="959" t="s">
        <v>2370</v>
      </c>
      <c r="LZ78" s="952">
        <f t="shared" ref="LZ78" si="2154">+MF48</f>
        <v>10581397.357567791</v>
      </c>
      <c r="MA78" s="959" t="s">
        <v>2370</v>
      </c>
      <c r="MN78" s="952">
        <f t="shared" ref="MN78" si="2155">+MT48</f>
        <v>10827651.912597179</v>
      </c>
      <c r="MO78" s="959" t="s">
        <v>2370</v>
      </c>
      <c r="NB78" s="952">
        <f t="shared" ref="NB78" si="2156">+NH48</f>
        <v>20721956.328547895</v>
      </c>
      <c r="NC78" s="959" t="s">
        <v>2370</v>
      </c>
      <c r="NP78" s="952">
        <f t="shared" ref="NP78" si="2157">+NV48</f>
        <v>3298695.2056858419</v>
      </c>
      <c r="NQ78" s="959" t="s">
        <v>2370</v>
      </c>
      <c r="OD78" s="952">
        <f t="shared" ref="OD78" si="2158">+OJ48</f>
        <v>4299125.2814631555</v>
      </c>
      <c r="OE78" s="959" t="s">
        <v>2370</v>
      </c>
      <c r="OR78" s="952">
        <f t="shared" ref="OR78" si="2159">+OX48</f>
        <v>5431452.9030580595</v>
      </c>
      <c r="OS78" s="959" t="s">
        <v>2370</v>
      </c>
      <c r="PF78" s="952">
        <f t="shared" ref="PF78" si="2160">+PL48</f>
        <v>1381196.9022940919</v>
      </c>
      <c r="PG78" s="959" t="s">
        <v>2370</v>
      </c>
      <c r="PT78" s="952">
        <f t="shared" ref="PT78" si="2161">+PZ48</f>
        <v>2131522.325360429</v>
      </c>
      <c r="PU78" s="959" t="s">
        <v>2370</v>
      </c>
      <c r="QH78" s="952">
        <f t="shared" ref="QH78" si="2162">+QN48</f>
        <v>797610.46213138569</v>
      </c>
      <c r="QI78" s="959" t="s">
        <v>2370</v>
      </c>
      <c r="QV78" s="952">
        <f t="shared" ref="QV78" si="2163">+RB48</f>
        <v>1798044.3595531681</v>
      </c>
      <c r="QW78" s="959" t="s">
        <v>2370</v>
      </c>
      <c r="RJ78" s="952">
        <f t="shared" ref="RJ78" si="2164">+RP48</f>
        <v>799753.29142722941</v>
      </c>
      <c r="RK78" s="959" t="s">
        <v>2370</v>
      </c>
      <c r="RX78" s="952">
        <f t="shared" ref="RX78" si="2165">+SD48</f>
        <v>1214457.9193904616</v>
      </c>
      <c r="RY78" s="959" t="s">
        <v>2370</v>
      </c>
      <c r="SL78" s="952">
        <f t="shared" ref="SL78" si="2166">+SR48</f>
        <v>0</v>
      </c>
      <c r="SM78" s="959" t="s">
        <v>2370</v>
      </c>
      <c r="SZ78" s="952">
        <f t="shared" ref="SZ78" si="2167">+TF48</f>
        <v>308600458.21032083</v>
      </c>
      <c r="TA78" s="959" t="s">
        <v>2370</v>
      </c>
    </row>
    <row r="79" spans="1:531" ht="15.75" customHeight="1">
      <c r="B79" s="952">
        <f>+H59</f>
        <v>7829214.0761422347</v>
      </c>
      <c r="C79" s="960" t="s">
        <v>2371</v>
      </c>
      <c r="P79" s="952">
        <f t="shared" ref="P79" si="2168">+V59</f>
        <v>1840843.7989835336</v>
      </c>
      <c r="Q79" s="960" t="s">
        <v>2371</v>
      </c>
      <c r="AD79" s="952">
        <f t="shared" ref="AD79" si="2169">+AJ59</f>
        <v>9670057.8751257695</v>
      </c>
      <c r="AE79" s="960" t="s">
        <v>2371</v>
      </c>
      <c r="AR79" s="952">
        <f t="shared" ref="AR79" si="2170">+AX59</f>
        <v>2791951.4669328467</v>
      </c>
      <c r="AS79" s="960" t="s">
        <v>2371</v>
      </c>
      <c r="BF79" s="952">
        <f t="shared" ref="BF79" si="2171">+BL59</f>
        <v>4005399.7722782297</v>
      </c>
      <c r="BG79" s="960" t="s">
        <v>2371</v>
      </c>
      <c r="BT79" s="952">
        <f t="shared" ref="BT79" si="2172">+BZ59</f>
        <v>3426691.7552069807</v>
      </c>
      <c r="BU79" s="960" t="s">
        <v>2371</v>
      </c>
      <c r="CH79" s="952">
        <f t="shared" ref="CH79" si="2173">+CN59</f>
        <v>3425260.5124916639</v>
      </c>
      <c r="CI79" s="960" t="s">
        <v>2371</v>
      </c>
      <c r="CV79" s="952">
        <f t="shared" ref="CV79" si="2174">+DB59</f>
        <v>1878754.9091537416</v>
      </c>
      <c r="CW79" s="960" t="s">
        <v>2371</v>
      </c>
      <c r="DJ79" s="952">
        <f t="shared" ref="DJ79" si="2175">+DP59</f>
        <v>3819488.9814495477</v>
      </c>
      <c r="DK79" s="960" t="s">
        <v>2371</v>
      </c>
      <c r="DX79" s="952">
        <f t="shared" ref="DX79" si="2176">+ED59</f>
        <v>2743413.5347190313</v>
      </c>
      <c r="DY79" s="960" t="s">
        <v>2371</v>
      </c>
      <c r="EL79" s="952">
        <f t="shared" ref="EL79" si="2177">+ER59</f>
        <v>3908323.907850598</v>
      </c>
      <c r="EM79" s="960" t="s">
        <v>2371</v>
      </c>
      <c r="EZ79" s="952">
        <f t="shared" ref="EZ79" si="2178">+FF59</f>
        <v>4204219.5634615729</v>
      </c>
      <c r="FA79" s="960" t="s">
        <v>2371</v>
      </c>
      <c r="FN79" s="952">
        <f t="shared" ref="FN79" si="2179">+FT59</f>
        <v>3058910.0941088311</v>
      </c>
      <c r="FO79" s="960" t="s">
        <v>2371</v>
      </c>
      <c r="GB79" s="952">
        <f t="shared" ref="GB79" si="2180">+GH59</f>
        <v>2364921.7758643669</v>
      </c>
      <c r="GC79" s="960" t="s">
        <v>2371</v>
      </c>
      <c r="GP79" s="952">
        <f t="shared" ref="GP79" si="2181">+GV59</f>
        <v>1479251.1147796093</v>
      </c>
      <c r="GQ79" s="960" t="s">
        <v>2371</v>
      </c>
      <c r="HD79" s="952">
        <f t="shared" ref="HD79" si="2182">+HJ59</f>
        <v>4751925.5712252557</v>
      </c>
      <c r="HE79" s="960" t="s">
        <v>2371</v>
      </c>
      <c r="HR79" s="952">
        <f t="shared" ref="HR79" si="2183">+HX59</f>
        <v>1669108.0242253989</v>
      </c>
      <c r="HS79" s="960" t="s">
        <v>2371</v>
      </c>
      <c r="IF79" s="952">
        <f t="shared" ref="IF79" si="2184">+IL59</f>
        <v>1122698.30876661</v>
      </c>
      <c r="IG79" s="960" t="s">
        <v>2371</v>
      </c>
      <c r="IT79" s="952">
        <f t="shared" ref="IT79" si="2185">+IZ59</f>
        <v>6981405.0063383607</v>
      </c>
      <c r="IU79" s="960" t="s">
        <v>2371</v>
      </c>
      <c r="JH79" s="952">
        <f t="shared" ref="JH79" si="2186">+JN59</f>
        <v>8104103.3151049707</v>
      </c>
      <c r="JI79" s="960" t="s">
        <v>2371</v>
      </c>
      <c r="JV79" s="952">
        <f t="shared" ref="JV79" si="2187">+KB59</f>
        <v>2352199.1298607588</v>
      </c>
      <c r="JW79" s="960" t="s">
        <v>2371</v>
      </c>
      <c r="KJ79" s="952">
        <f t="shared" ref="KJ79" si="2188">+KP59</f>
        <v>1414432.5492062205</v>
      </c>
      <c r="KK79" s="960" t="s">
        <v>2371</v>
      </c>
      <c r="KX79" s="952">
        <f t="shared" ref="KX79" si="2189">+LD59</f>
        <v>1150600.8568045641</v>
      </c>
      <c r="KY79" s="960" t="s">
        <v>2371</v>
      </c>
      <c r="LL79" s="952">
        <f t="shared" ref="LL79" si="2190">+LR59</f>
        <v>3010372.1618950153</v>
      </c>
      <c r="LM79" s="960" t="s">
        <v>2371</v>
      </c>
      <c r="LZ79" s="952">
        <f t="shared" ref="LZ79" si="2191">+MF59</f>
        <v>2986103.1957881073</v>
      </c>
      <c r="MA79" s="960" t="s">
        <v>2371</v>
      </c>
      <c r="MN79" s="952">
        <f t="shared" ref="MN79" si="2192">+MT59</f>
        <v>3055596.9959831</v>
      </c>
      <c r="MO79" s="960" t="s">
        <v>2371</v>
      </c>
      <c r="NB79" s="952">
        <f t="shared" ref="NB79" si="2193">+NH59</f>
        <v>5847800.4298178572</v>
      </c>
      <c r="NC79" s="960" t="s">
        <v>2371</v>
      </c>
      <c r="NP79" s="952">
        <f t="shared" ref="NP79" si="2194">+NV59</f>
        <v>930902.03143959353</v>
      </c>
      <c r="NQ79" s="960" t="s">
        <v>2371</v>
      </c>
      <c r="OD79" s="952">
        <f t="shared" ref="OD79" si="2195">+OJ59</f>
        <v>1213226.5057496529</v>
      </c>
      <c r="OE79" s="960" t="s">
        <v>2371</v>
      </c>
      <c r="OR79" s="952">
        <f t="shared" ref="OR79" si="2196">+OX59</f>
        <v>1532772.877109143</v>
      </c>
      <c r="OS79" s="960" t="s">
        <v>2371</v>
      </c>
      <c r="PF79" s="952">
        <f t="shared" ref="PF79" si="2197">+PL59</f>
        <v>389778.0552587664</v>
      </c>
      <c r="PG79" s="960" t="s">
        <v>2371</v>
      </c>
      <c r="PT79" s="952">
        <f t="shared" ref="PT79" si="2198">+PZ59</f>
        <v>601522.21985126392</v>
      </c>
      <c r="PU79" s="960" t="s">
        <v>2371</v>
      </c>
      <c r="QH79" s="952">
        <f t="shared" ref="QH79" si="2199">+QN59</f>
        <v>225088.14946460171</v>
      </c>
      <c r="QI79" s="960" t="s">
        <v>2371</v>
      </c>
      <c r="QV79" s="952">
        <f t="shared" ref="QV79" si="2200">+RB59</f>
        <v>507413.70225459832</v>
      </c>
      <c r="QW79" s="960" t="s">
        <v>2371</v>
      </c>
      <c r="RJ79" s="952">
        <f t="shared" ref="RJ79" si="2201">+RP59</f>
        <v>225692.86254663815</v>
      </c>
      <c r="RK79" s="960" t="s">
        <v>2371</v>
      </c>
      <c r="RX79" s="952">
        <f t="shared" ref="RX79" si="2202">+SD59</f>
        <v>342723.79646043363</v>
      </c>
      <c r="RY79" s="960" t="s">
        <v>2371</v>
      </c>
      <c r="SL79" s="952">
        <f t="shared" ref="SL79" si="2203">+SR59</f>
        <v>0</v>
      </c>
      <c r="SM79" s="960" t="s">
        <v>2371</v>
      </c>
      <c r="SZ79" s="952">
        <f t="shared" ref="SZ79" si="2204">+TF59</f>
        <v>87088007.69346872</v>
      </c>
      <c r="TA79" s="960" t="s">
        <v>2371</v>
      </c>
    </row>
    <row r="80" spans="1:531" ht="15.75" customHeight="1" thickBot="1">
      <c r="B80" s="955">
        <f>+H63</f>
        <v>11630152.524663435</v>
      </c>
      <c r="C80" s="956" t="s">
        <v>2365</v>
      </c>
      <c r="P80" s="955">
        <f t="shared" ref="P80" si="2205">+V63</f>
        <v>2734539.3736900585</v>
      </c>
      <c r="Q80" s="956" t="s">
        <v>2365</v>
      </c>
      <c r="AD80" s="955">
        <f t="shared" ref="AD80" si="2206">+AJ63</f>
        <v>14364691.898353491</v>
      </c>
      <c r="AE80" s="956" t="s">
        <v>2365</v>
      </c>
      <c r="AR80" s="955">
        <f t="shared" ref="AR80" si="2207">+AX63</f>
        <v>4147392.2013238003</v>
      </c>
      <c r="AS80" s="956" t="s">
        <v>2365</v>
      </c>
      <c r="BF80" s="955">
        <f t="shared" ref="BF80" si="2208">+BL63</f>
        <v>5949947.1876494531</v>
      </c>
      <c r="BG80" s="956" t="s">
        <v>2365</v>
      </c>
      <c r="BT80" s="955">
        <f t="shared" ref="BT80" si="2209">+BZ63</f>
        <v>5090287.1451052446</v>
      </c>
      <c r="BU80" s="956" t="s">
        <v>2365</v>
      </c>
      <c r="CH80" s="955">
        <f t="shared" ref="CH80" si="2210">+CN63</f>
        <v>5088161.0605561361</v>
      </c>
      <c r="CI80" s="956" t="s">
        <v>2365</v>
      </c>
      <c r="CV80" s="955">
        <f t="shared" ref="CV80" si="2211">+DB63</f>
        <v>2790855.6257903059</v>
      </c>
      <c r="CW80" s="956" t="s">
        <v>2365</v>
      </c>
      <c r="DJ80" s="955">
        <f t="shared" ref="DJ80" si="2212">+DP63</f>
        <v>5673780.150665869</v>
      </c>
      <c r="DK80" s="956" t="s">
        <v>2365</v>
      </c>
      <c r="DX80" s="955">
        <f t="shared" ref="DX80" si="2213">+ED63</f>
        <v>4075290.0018707737</v>
      </c>
      <c r="DY80" s="956" t="s">
        <v>2365</v>
      </c>
      <c r="EL80" s="955">
        <f t="shared" ref="EL80" si="2214">+ER63</f>
        <v>5805742.7887433991</v>
      </c>
      <c r="EM80" s="956" t="s">
        <v>2365</v>
      </c>
      <c r="EZ80" s="955">
        <f t="shared" ref="EZ80" si="2215">+FF63</f>
        <v>6245290.3056043228</v>
      </c>
      <c r="FA80" s="956" t="s">
        <v>2365</v>
      </c>
      <c r="FN80" s="955">
        <f t="shared" ref="FN80" si="2216">+FT63</f>
        <v>4543954.298315444</v>
      </c>
      <c r="FO80" s="956" t="s">
        <v>2365</v>
      </c>
      <c r="GB80" s="955">
        <f t="shared" ref="GB80" si="2217">+GH63</f>
        <v>3513047.5031988155</v>
      </c>
      <c r="GC80" s="956" t="s">
        <v>2365</v>
      </c>
      <c r="GP80" s="955">
        <f t="shared" ref="GP80" si="2218">+GV63</f>
        <v>2197400.1374659468</v>
      </c>
      <c r="GQ80" s="956" t="s">
        <v>2365</v>
      </c>
      <c r="HD80" s="955">
        <f t="shared" ref="HD80" si="2219">+HJ63</f>
        <v>7058897.4374334281</v>
      </c>
      <c r="HE80" s="956" t="s">
        <v>2365</v>
      </c>
      <c r="HR80" s="955">
        <f t="shared" ref="HR80" si="2220">+HX63</f>
        <v>2479429.060578974</v>
      </c>
      <c r="HS80" s="956" t="s">
        <v>2365</v>
      </c>
      <c r="IF80" s="955">
        <f t="shared" ref="IF80" si="2221">+IL63</f>
        <v>1667747.5469633772</v>
      </c>
      <c r="IG80" s="956" t="s">
        <v>2365</v>
      </c>
      <c r="IT80" s="955">
        <f t="shared" ref="IT80" si="2222">+IZ63</f>
        <v>10370747.851637742</v>
      </c>
      <c r="IU80" s="956" t="s">
        <v>2365</v>
      </c>
      <c r="JH80" s="955">
        <f t="shared" ref="JH80" si="2223">+JN63</f>
        <v>12038495.398601117</v>
      </c>
      <c r="JI80" s="956" t="s">
        <v>2365</v>
      </c>
      <c r="JV80" s="955">
        <f t="shared" ref="JV80" si="2224">+KB63</f>
        <v>3494148.2481650114</v>
      </c>
      <c r="JW80" s="956" t="s">
        <v>2365</v>
      </c>
      <c r="KJ80" s="955">
        <f t="shared" ref="KJ80" si="2225">+KP63</f>
        <v>2101113.3586504851</v>
      </c>
      <c r="KK80" s="956" t="s">
        <v>2365</v>
      </c>
      <c r="KX80" s="955">
        <f t="shared" ref="KX80" si="2226">+LD63</f>
        <v>1709196.2653599055</v>
      </c>
      <c r="KY80" s="956" t="s">
        <v>2365</v>
      </c>
      <c r="LL80" s="955">
        <f t="shared" ref="LL80" si="2227">+LR63</f>
        <v>4471852.098862417</v>
      </c>
      <c r="LM80" s="956" t="s">
        <v>2365</v>
      </c>
      <c r="LZ80" s="955">
        <f t="shared" ref="LZ80" si="2228">+MF63</f>
        <v>4435800.999135904</v>
      </c>
      <c r="MA80" s="956" t="s">
        <v>2365</v>
      </c>
      <c r="MN80" s="955">
        <f t="shared" ref="MN80" si="2229">+MT63</f>
        <v>4539032.7524033394</v>
      </c>
      <c r="MO80" s="956" t="s">
        <v>2365</v>
      </c>
      <c r="NB80" s="955">
        <f t="shared" ref="NB80" si="2230">+NH63</f>
        <v>8686799.2458938733</v>
      </c>
      <c r="NC80" s="956" t="s">
        <v>2365</v>
      </c>
      <c r="NP80" s="955">
        <f t="shared" ref="NP80" si="2231">+NV63</f>
        <v>1382837.7287770079</v>
      </c>
      <c r="NQ80" s="956" t="s">
        <v>2365</v>
      </c>
      <c r="OD80" s="955">
        <f t="shared" ref="OD80" si="2232">+OJ63</f>
        <v>1802225.5071335947</v>
      </c>
      <c r="OE80" s="956" t="s">
        <v>2365</v>
      </c>
      <c r="OR80" s="955">
        <f t="shared" ref="OR80" si="2233">+OX63</f>
        <v>2276905.7242627228</v>
      </c>
      <c r="OS80" s="956" t="s">
        <v>2365</v>
      </c>
      <c r="PF80" s="955">
        <f t="shared" ref="PF80" si="2234">+PL63</f>
        <v>579008.08297476301</v>
      </c>
      <c r="PG80" s="956" t="s">
        <v>2365</v>
      </c>
      <c r="PT80" s="955">
        <f t="shared" ref="PT80" si="2235">+PZ63</f>
        <v>893550.11828868475</v>
      </c>
      <c r="PU80" s="956" t="s">
        <v>2365</v>
      </c>
      <c r="QH80" s="955">
        <f t="shared" ref="QH80" si="2236">+QN63</f>
        <v>334364.27773060161</v>
      </c>
      <c r="QI80" s="956" t="s">
        <v>2365</v>
      </c>
      <c r="QV80" s="955">
        <f t="shared" ref="QV80" si="2237">+RB63</f>
        <v>753753.65814916394</v>
      </c>
      <c r="QW80" s="956" t="s">
        <v>2365</v>
      </c>
      <c r="RJ80" s="955">
        <f t="shared" ref="RJ80" si="2238">+RP63</f>
        <v>335262.56781557639</v>
      </c>
      <c r="RK80" s="956" t="s">
        <v>2365</v>
      </c>
      <c r="RX80" s="955">
        <f t="shared" ref="RX80" si="2239">+SD63</f>
        <v>509109.8529050026</v>
      </c>
      <c r="RY80" s="956" t="s">
        <v>2365</v>
      </c>
      <c r="SL80" s="955">
        <f t="shared" ref="SL80" si="2240">+SR63</f>
        <v>0</v>
      </c>
      <c r="SM80" s="956" t="s">
        <v>2365</v>
      </c>
      <c r="SZ80" s="955">
        <f t="shared" ref="SZ80" si="2241">+TF63</f>
        <v>129367622.68776457</v>
      </c>
      <c r="TA80" s="956" t="s">
        <v>2365</v>
      </c>
    </row>
    <row r="81" spans="2:531" ht="15.75" customHeight="1" thickBot="1">
      <c r="B81" s="464">
        <f>+SUM(B74:B80)</f>
        <v>2919168283.6905222</v>
      </c>
      <c r="C81" s="954" t="s">
        <v>2364</v>
      </c>
      <c r="P81" s="464">
        <f t="shared" ref="P81" si="2242">+SUM(P74:P80)</f>
        <v>686369382.79620457</v>
      </c>
      <c r="Q81" s="954" t="s">
        <v>2364</v>
      </c>
      <c r="AD81" s="464">
        <f t="shared" ref="AD81" si="2243">+SUM(AD74:AD80)</f>
        <v>3605537666.4867263</v>
      </c>
      <c r="AE81" s="954" t="s">
        <v>2364</v>
      </c>
      <c r="AR81" s="464">
        <f t="shared" ref="AR81" si="2244">+SUM(AR74:AR80)</f>
        <v>1040995442.5322738</v>
      </c>
      <c r="AS81" s="954" t="s">
        <v>2364</v>
      </c>
      <c r="BF81" s="464">
        <f t="shared" ref="BF81" si="2245">+SUM(BF74:BF80)</f>
        <v>1493436744.1000128</v>
      </c>
      <c r="BG81" s="954" t="s">
        <v>2364</v>
      </c>
      <c r="BT81" s="464">
        <f t="shared" ref="BT81:DX81" si="2246">+SUM(BT74:BT80)</f>
        <v>1277662073.4214165</v>
      </c>
      <c r="BU81" s="954" t="s">
        <v>2364</v>
      </c>
      <c r="CH81" s="464">
        <f t="shared" si="2246"/>
        <v>1277128426.1995902</v>
      </c>
      <c r="CI81" s="954" t="s">
        <v>2364</v>
      </c>
      <c r="CV81" s="464">
        <f t="shared" si="2246"/>
        <v>700504762.07336676</v>
      </c>
      <c r="CW81" s="954" t="s">
        <v>2364</v>
      </c>
      <c r="DJ81" s="464">
        <f t="shared" si="2246"/>
        <v>1424118817.8171329</v>
      </c>
      <c r="DK81" s="954" t="s">
        <v>2364</v>
      </c>
      <c r="DX81" s="464">
        <f t="shared" si="2246"/>
        <v>1022897790.4695642</v>
      </c>
      <c r="DY81" s="954" t="s">
        <v>2364</v>
      </c>
      <c r="EL81" s="464">
        <f t="shared" ref="EL81:GP81" si="2247">+SUM(EL74:EL80)</f>
        <v>1457241439.9745932</v>
      </c>
      <c r="EM81" s="954" t="s">
        <v>2364</v>
      </c>
      <c r="EZ81" s="464">
        <f t="shared" si="2247"/>
        <v>1567567866.7066848</v>
      </c>
      <c r="FA81" s="954" t="s">
        <v>2364</v>
      </c>
      <c r="FN81" s="464">
        <f t="shared" si="2247"/>
        <v>1140532528.8771765</v>
      </c>
      <c r="FO81" s="954" t="s">
        <v>2364</v>
      </c>
      <c r="GB81" s="464">
        <f t="shared" si="2247"/>
        <v>881774923.3029027</v>
      </c>
      <c r="GC81" s="954" t="s">
        <v>2364</v>
      </c>
      <c r="GP81" s="464">
        <f t="shared" si="2247"/>
        <v>551547434.50395262</v>
      </c>
      <c r="GQ81" s="954" t="s">
        <v>2364</v>
      </c>
      <c r="HD81" s="464">
        <f t="shared" ref="HD81:JV81" si="2248">+SUM(HD74:HD80)</f>
        <v>1771783256.7957904</v>
      </c>
      <c r="HE81" s="954" t="s">
        <v>2364</v>
      </c>
      <c r="HR81" s="464">
        <f t="shared" si="2248"/>
        <v>622336694.20532238</v>
      </c>
      <c r="HS81" s="954" t="s">
        <v>2364</v>
      </c>
      <c r="IF81" s="464">
        <f t="shared" si="2248"/>
        <v>418604634.2878077</v>
      </c>
      <c r="IG81" s="954" t="s">
        <v>2364</v>
      </c>
      <c r="IT81" s="464">
        <f t="shared" si="2248"/>
        <v>2603057710.7610731</v>
      </c>
      <c r="IU81" s="954" t="s">
        <v>2364</v>
      </c>
      <c r="JH81" s="464">
        <f t="shared" ref="JH81" si="2249">+SUM(JH74:JH80)</f>
        <v>3021662345.0488801</v>
      </c>
      <c r="JI81" s="954" t="s">
        <v>2364</v>
      </c>
      <c r="JV81" s="464">
        <f t="shared" si="2248"/>
        <v>877031210.28941786</v>
      </c>
      <c r="JW81" s="954" t="s">
        <v>2364</v>
      </c>
      <c r="KJ81" s="464">
        <f t="shared" ref="KJ81:MN81" si="2250">+SUM(KJ74:KJ80)</f>
        <v>527379453.02127171</v>
      </c>
      <c r="KK81" s="954" t="s">
        <v>2364</v>
      </c>
      <c r="KX81" s="464">
        <f t="shared" si="2250"/>
        <v>429008262.60533625</v>
      </c>
      <c r="KY81" s="954" t="s">
        <v>2364</v>
      </c>
      <c r="LL81" s="464">
        <f t="shared" si="2250"/>
        <v>1122434876.8144667</v>
      </c>
      <c r="LM81" s="954" t="s">
        <v>2364</v>
      </c>
      <c r="LZ81" s="464">
        <f t="shared" si="2250"/>
        <v>1113386050.783112</v>
      </c>
      <c r="MA81" s="954" t="s">
        <v>2364</v>
      </c>
      <c r="MN81" s="464">
        <f t="shared" si="2250"/>
        <v>1139297220.8532381</v>
      </c>
      <c r="MO81" s="954" t="s">
        <v>2364</v>
      </c>
      <c r="NB81" s="464">
        <f t="shared" ref="NB81:PF81" si="2251">+SUM(NB74:NB80)</f>
        <v>2180386610.7193623</v>
      </c>
      <c r="NC81" s="954" t="s">
        <v>2364</v>
      </c>
      <c r="NP81" s="464">
        <f t="shared" si="2251"/>
        <v>347092269.92302895</v>
      </c>
      <c r="NQ81" s="954" t="s">
        <v>2364</v>
      </c>
      <c r="OD81" s="464">
        <f t="shared" si="2251"/>
        <v>452358602.29053229</v>
      </c>
      <c r="OE81" s="954" t="s">
        <v>2364</v>
      </c>
      <c r="OR81" s="464">
        <f t="shared" si="2251"/>
        <v>571503336.78994334</v>
      </c>
      <c r="OS81" s="954" t="s">
        <v>2364</v>
      </c>
      <c r="PF81" s="464">
        <f t="shared" si="2251"/>
        <v>145331028.82666552</v>
      </c>
      <c r="PG81" s="954" t="s">
        <v>2364</v>
      </c>
      <c r="PT81" s="464">
        <f t="shared" ref="PT81:RX81" si="2252">+SUM(PT74:PT80)</f>
        <v>224281079.69045988</v>
      </c>
      <c r="PU81" s="954" t="s">
        <v>2364</v>
      </c>
      <c r="QH81" s="464">
        <f t="shared" si="2252"/>
        <v>83925433.710381001</v>
      </c>
      <c r="QI81" s="954" t="s">
        <v>2364</v>
      </c>
      <c r="QV81" s="464">
        <f t="shared" si="2252"/>
        <v>189192168.19544014</v>
      </c>
      <c r="QW81" s="954" t="s">
        <v>2364</v>
      </c>
      <c r="RJ81" s="464">
        <f t="shared" si="2252"/>
        <v>84150904.521709666</v>
      </c>
      <c r="RK81" s="954" t="s">
        <v>2364</v>
      </c>
      <c r="RX81" s="464">
        <f t="shared" si="2252"/>
        <v>127786573.07915565</v>
      </c>
      <c r="RY81" s="954" t="s">
        <v>2364</v>
      </c>
      <c r="SL81" s="464">
        <f t="shared" ref="SL81" si="2253">+SUM(SL74:SL80)</f>
        <v>0</v>
      </c>
      <c r="SM81" s="954" t="s">
        <v>2364</v>
      </c>
      <c r="SZ81" s="464">
        <f t="shared" ref="SZ81" si="2254">+SUM(SZ74:SZ80)</f>
        <v>32471273294.628906</v>
      </c>
      <c r="TA81" s="954" t="s">
        <v>2364</v>
      </c>
      <c r="TG81" s="105"/>
      <c r="TK81" s="105"/>
    </row>
    <row r="83" spans="2:531" ht="15.75" customHeight="1" thickBot="1">
      <c r="TG83" s="105"/>
      <c r="TK83" s="105"/>
    </row>
    <row r="84" spans="2:531" ht="15.75" customHeight="1" thickBot="1">
      <c r="B84" s="1247" t="s">
        <v>2373</v>
      </c>
      <c r="C84" s="1248"/>
      <c r="P84" s="1249" t="s">
        <v>2373</v>
      </c>
      <c r="Q84" s="1250"/>
      <c r="AD84" s="1249" t="s">
        <v>2373</v>
      </c>
      <c r="AE84" s="1250"/>
      <c r="AR84" s="1249" t="s">
        <v>2373</v>
      </c>
      <c r="AS84" s="1250"/>
      <c r="BF84" s="1249" t="s">
        <v>2373</v>
      </c>
      <c r="BG84" s="1250"/>
      <c r="BT84" s="1249" t="s">
        <v>2373</v>
      </c>
      <c r="BU84" s="1250"/>
      <c r="CH84" s="1249" t="s">
        <v>2373</v>
      </c>
      <c r="CI84" s="1250"/>
      <c r="CV84" s="1249" t="s">
        <v>2373</v>
      </c>
      <c r="CW84" s="1250"/>
      <c r="DJ84" s="1249" t="s">
        <v>2373</v>
      </c>
      <c r="DK84" s="1250"/>
      <c r="DX84" s="1249" t="s">
        <v>2373</v>
      </c>
      <c r="DY84" s="1250"/>
      <c r="EL84" s="1249" t="s">
        <v>2373</v>
      </c>
      <c r="EM84" s="1250"/>
      <c r="EZ84" s="1249" t="s">
        <v>2373</v>
      </c>
      <c r="FA84" s="1250"/>
      <c r="FN84" s="1249" t="s">
        <v>2373</v>
      </c>
      <c r="FO84" s="1250"/>
      <c r="GB84" s="1249" t="s">
        <v>2373</v>
      </c>
      <c r="GC84" s="1250"/>
      <c r="GP84" s="1249" t="s">
        <v>2373</v>
      </c>
      <c r="GQ84" s="1250"/>
      <c r="HD84" s="1249" t="s">
        <v>2373</v>
      </c>
      <c r="HE84" s="1250"/>
      <c r="HR84" s="1249" t="s">
        <v>2373</v>
      </c>
      <c r="HS84" s="1250"/>
      <c r="IF84" s="1249" t="s">
        <v>2373</v>
      </c>
      <c r="IG84" s="1250"/>
      <c r="IT84" s="1249" t="s">
        <v>2373</v>
      </c>
      <c r="IU84" s="1250"/>
      <c r="JH84" s="1249" t="s">
        <v>2373</v>
      </c>
      <c r="JI84" s="1250"/>
      <c r="JV84" s="1249" t="s">
        <v>2373</v>
      </c>
      <c r="JW84" s="1250"/>
      <c r="KJ84" s="1249" t="s">
        <v>2373</v>
      </c>
      <c r="KK84" s="1250"/>
      <c r="KX84" s="1249" t="s">
        <v>2373</v>
      </c>
      <c r="KY84" s="1250"/>
      <c r="LL84" s="1249" t="s">
        <v>2373</v>
      </c>
      <c r="LM84" s="1250"/>
      <c r="LZ84" s="1249" t="s">
        <v>2373</v>
      </c>
      <c r="MA84" s="1250"/>
      <c r="MN84" s="1249" t="s">
        <v>2373</v>
      </c>
      <c r="MO84" s="1250"/>
      <c r="NB84" s="1249" t="s">
        <v>2373</v>
      </c>
      <c r="NC84" s="1250"/>
      <c r="NP84" s="1249" t="s">
        <v>2373</v>
      </c>
      <c r="NQ84" s="1250"/>
      <c r="OD84" s="1249" t="s">
        <v>2373</v>
      </c>
      <c r="OE84" s="1250"/>
      <c r="OR84" s="1249" t="s">
        <v>2373</v>
      </c>
      <c r="OS84" s="1250"/>
      <c r="PF84" s="1249" t="s">
        <v>2373</v>
      </c>
      <c r="PG84" s="1250"/>
      <c r="PT84" s="1249" t="s">
        <v>2373</v>
      </c>
      <c r="PU84" s="1250"/>
      <c r="QH84" s="1249" t="s">
        <v>2373</v>
      </c>
      <c r="QI84" s="1250"/>
      <c r="QV84" s="1249" t="s">
        <v>2373</v>
      </c>
      <c r="QW84" s="1250"/>
      <c r="RJ84" s="1249" t="s">
        <v>2373</v>
      </c>
      <c r="RK84" s="1250"/>
      <c r="RX84" s="1249" t="s">
        <v>2373</v>
      </c>
      <c r="RY84" s="1250"/>
      <c r="SL84" s="1249" t="s">
        <v>2373</v>
      </c>
      <c r="SM84" s="1250"/>
      <c r="SZ84" s="1249" t="s">
        <v>2373</v>
      </c>
      <c r="TA84" s="1250"/>
      <c r="TG84" s="105"/>
      <c r="TK84" s="105"/>
    </row>
    <row r="85" spans="2:531" ht="15.75" customHeight="1">
      <c r="B85" s="964" t="str">
        <f>+VLOOKUP(C85,B74:C80,2,0)</f>
        <v>Otros costos</v>
      </c>
      <c r="C85" s="961">
        <f>+LARGE((B74:B80),1)</f>
        <v>1495706996.5845997</v>
      </c>
      <c r="P85" s="964" t="str">
        <f t="shared" ref="P85" si="2255">+VLOOKUP(Q85,P74:Q80,2,0)</f>
        <v>Otros costos</v>
      </c>
      <c r="Q85" s="961">
        <f t="shared" ref="Q85" si="2256">+LARGE((P74:P80),1)</f>
        <v>345544442.90413839</v>
      </c>
      <c r="AD85" s="964" t="str">
        <f t="shared" ref="AD85" si="2257">+VLOOKUP(AE85,AD74:AE80,2,0)</f>
        <v>Otros costos</v>
      </c>
      <c r="AE85" s="961">
        <f t="shared" ref="AE85" si="2258">+LARGE((AD74:AD80),1)</f>
        <v>1841251439.4887381</v>
      </c>
      <c r="AR85" s="964" t="str">
        <f t="shared" ref="AR85" si="2259">+VLOOKUP(AS85,AR74:AS80,2,0)</f>
        <v>Otros costos</v>
      </c>
      <c r="AS85" s="961">
        <f t="shared" ref="AS85" si="2260">+LARGE((AR74:AR80),1)</f>
        <v>537375889.85088193</v>
      </c>
      <c r="BF85" s="964" t="str">
        <f t="shared" ref="BF85" si="2261">+VLOOKUP(BG85,BF74:BG80,2,0)</f>
        <v>Otros costos</v>
      </c>
      <c r="BG85" s="961">
        <f t="shared" ref="BG85" si="2262">+LARGE((BF74:BF80),1)</f>
        <v>776907033.53431141</v>
      </c>
      <c r="BT85" s="964" t="str">
        <f t="shared" ref="BT85" si="2263">+VLOOKUP(BU85,BT74:BU80,2,0)</f>
        <v>Otros costos</v>
      </c>
      <c r="BU85" s="961">
        <f t="shared" ref="BU85" si="2264">+LARGE((BT74:BT80),1)</f>
        <v>671513330.31360245</v>
      </c>
      <c r="CH85" s="964" t="str">
        <f t="shared" ref="CH85" si="2265">+VLOOKUP(CI85,CH74:CI80,2,0)</f>
        <v>Otros costos</v>
      </c>
      <c r="CI85" s="961">
        <f t="shared" ref="CI85" si="2266">+LARGE((CH74:CH80),1)</f>
        <v>681094576.06093955</v>
      </c>
      <c r="CV85" s="964" t="str">
        <f t="shared" ref="CV85" si="2267">+VLOOKUP(CW85,CV74:CW80,2,0)</f>
        <v>Otros costos</v>
      </c>
      <c r="CW85" s="961">
        <f t="shared" ref="CW85" si="2268">+LARGE((CV74:CV80),1)</f>
        <v>364706934.39881277</v>
      </c>
      <c r="DJ85" s="964" t="str">
        <f t="shared" ref="DJ85" si="2269">+VLOOKUP(DK85,DJ74:DK80,2,0)</f>
        <v>Otros costos</v>
      </c>
      <c r="DK85" s="961">
        <f t="shared" ref="DK85" si="2270">+LARGE((DJ74:DJ80),1)</f>
        <v>729000804.79762554</v>
      </c>
      <c r="DX85" s="964" t="str">
        <f t="shared" ref="DX85" si="2271">+VLOOKUP(DY85,DX74:DY80,2,0)</f>
        <v>Otros costos</v>
      </c>
      <c r="DY85" s="961">
        <f t="shared" ref="DY85" si="2272">+LARGE((DX74:DX80),1)</f>
        <v>527794644.10354471</v>
      </c>
      <c r="EL85" s="964" t="str">
        <f t="shared" ref="EL85" si="2273">+VLOOKUP(EM85,EL74:EM80,2,0)</f>
        <v>Otros costos</v>
      </c>
      <c r="EM85" s="961">
        <f t="shared" ref="EM85" si="2274">+LARGE((EL74:EL80),1)</f>
        <v>757744542.03963697</v>
      </c>
      <c r="EZ85" s="964" t="str">
        <f t="shared" ref="EZ85" si="2275">+VLOOKUP(FA85,EZ74:FA80,2,0)</f>
        <v>Otros costos</v>
      </c>
      <c r="FA85" s="961">
        <f t="shared" ref="FA85" si="2276">+LARGE((EZ74:EZ80),1)</f>
        <v>815232016.52366018</v>
      </c>
      <c r="FN85" s="964" t="str">
        <f t="shared" ref="FN85" si="2277">+VLOOKUP(FO85,FN74:FO80,2,0)</f>
        <v>Otros costos</v>
      </c>
      <c r="FO85" s="961">
        <f t="shared" ref="FO85" si="2278">+LARGE((FN74:FN80),1)</f>
        <v>590072741.46123648</v>
      </c>
      <c r="GB85" s="964" t="str">
        <f t="shared" ref="GB85" si="2279">+VLOOKUP(GC85,GB74:GC80,2,0)</f>
        <v>Otros costos</v>
      </c>
      <c r="GC85" s="961">
        <f t="shared" ref="GC85" si="2280">+LARGE((GB74:GB80),1)</f>
        <v>465310014.74585307</v>
      </c>
      <c r="GP85" s="964" t="str">
        <f t="shared" ref="GP85" si="2281">+VLOOKUP(GQ85,GP74:GQ80,2,0)</f>
        <v>Otros costos</v>
      </c>
      <c r="GQ85" s="961">
        <f t="shared" ref="GQ85" si="2282">+LARGE((GP74:GP80),1)</f>
        <v>288056968.42011529</v>
      </c>
      <c r="HD85" s="964" t="str">
        <f t="shared" ref="HD85" si="2283">+VLOOKUP(HE85,HD74:HE80,2,0)</f>
        <v>Otros costos</v>
      </c>
      <c r="HE85" s="961">
        <f t="shared" ref="HE85" si="2284">+LARGE((HD74:HD80),1)</f>
        <v>920832251.74436903</v>
      </c>
      <c r="HR85" s="964" t="str">
        <f t="shared" ref="HR85" si="2285">+VLOOKUP(HS85,HR74:HS80,2,0)</f>
        <v>Otros costos</v>
      </c>
      <c r="HS85" s="961">
        <f t="shared" ref="HS85" si="2286">+LARGE((HR74:HR80),1)</f>
        <v>326381951.409464</v>
      </c>
      <c r="IF85" s="964" t="str">
        <f t="shared" ref="IF85" si="2287">+VLOOKUP(IG85,IF74:IG80,2,0)</f>
        <v>Otros costos</v>
      </c>
      <c r="IG85" s="961">
        <f t="shared" ref="IG85" si="2288">+LARGE((IF74:IF80),1)</f>
        <v>211407002.4414179</v>
      </c>
      <c r="IT85" s="964" t="str">
        <f t="shared" ref="IT85" si="2289">+VLOOKUP(IU85,IT74:IU80,2,0)</f>
        <v>Otros costos</v>
      </c>
      <c r="IU85" s="961">
        <f t="shared" ref="IU85" si="2290">+LARGE((IT74:IT80),1)</f>
        <v>1361569556.1218791</v>
      </c>
      <c r="JH85" s="964" t="str">
        <f t="shared" ref="JH85" si="2291">+VLOOKUP(JI85,JH74:JI80,2,0)</f>
        <v>Otros costos</v>
      </c>
      <c r="JI85" s="961">
        <f t="shared" ref="JI85" si="2292">+LARGE((JH74:JH80),1)</f>
        <v>1572976558.563297</v>
      </c>
      <c r="JV85" s="964" t="str">
        <f t="shared" ref="JV85" si="2293">+VLOOKUP(JW85,JV74:JW80,2,0)</f>
        <v>Otros costos</v>
      </c>
      <c r="JW85" s="961">
        <f t="shared" ref="JW85" si="2294">+LARGE((JV74:JV80),1)</f>
        <v>450938146.12484735</v>
      </c>
      <c r="KJ85" s="964" t="str">
        <f t="shared" ref="KJ85" si="2295">+VLOOKUP(KK85,KJ74:KK80,2,0)</f>
        <v>Otros costos</v>
      </c>
      <c r="KK85" s="961">
        <f t="shared" ref="KK85" si="2296">+LARGE((KJ74:KJ80),1)</f>
        <v>268894476.92544097</v>
      </c>
      <c r="KX85" s="964" t="str">
        <f t="shared" ref="KX85" si="2297">+VLOOKUP(KY85,KX74:KY80,2,0)</f>
        <v>Otros costos</v>
      </c>
      <c r="KY85" s="961">
        <f t="shared" ref="KY85" si="2298">+LARGE((KX74:KX80),1)</f>
        <v>220988248.18875507</v>
      </c>
      <c r="LL85" s="964" t="str">
        <f t="shared" ref="LL85" si="2299">+VLOOKUP(LM85,LL74:LM80,2,0)</f>
        <v>Otros costos</v>
      </c>
      <c r="LM85" s="961">
        <f t="shared" ref="LM85" si="2300">+LARGE((LL74:LL80),1)</f>
        <v>580491495.71389925</v>
      </c>
      <c r="LZ85" s="964" t="str">
        <f t="shared" ref="LZ85" si="2301">+VLOOKUP(MA85,LZ74:MA80,2,0)</f>
        <v>Otros costos</v>
      </c>
      <c r="MA85" s="961">
        <f t="shared" ref="MA85" si="2302">+LARGE((LZ74:LZ80),1)</f>
        <v>575700872.84023058</v>
      </c>
      <c r="MN85" s="964" t="str">
        <f t="shared" ref="MN85" si="2303">+VLOOKUP(MO85,MN74:MO80,2,0)</f>
        <v>Otros costos</v>
      </c>
      <c r="MO85" s="961">
        <f t="shared" ref="MO85" si="2304">+LARGE((MN74:MN80),1)</f>
        <v>604444610.08224225</v>
      </c>
      <c r="NB85" s="964" t="str">
        <f t="shared" ref="NB85" si="2305">+VLOOKUP(NC85,NB74:NC80,2,0)</f>
        <v>Otros costos</v>
      </c>
      <c r="NC85" s="961">
        <f t="shared" ref="NC85" si="2306">+LARGE((NB74:NB80),1)</f>
        <v>1126829035.3121183</v>
      </c>
      <c r="NP85" s="964" t="str">
        <f t="shared" ref="NP85" si="2307">+VLOOKUP(NQ85,NP74:NQ80,2,0)</f>
        <v>Otros costos</v>
      </c>
      <c r="NQ85" s="961">
        <f t="shared" ref="NQ85" si="2308">+LARGE((NP74:NP80),1)</f>
        <v>182456733.19940639</v>
      </c>
      <c r="OD85" s="964" t="str">
        <f t="shared" ref="OD85" si="2309">+VLOOKUP(OE85,OD74:OE80,2,0)</f>
        <v>Otros costos</v>
      </c>
      <c r="OE85" s="961">
        <f t="shared" ref="OE85" si="2310">+LARGE((OD74:OD80),1)</f>
        <v>230569493.93609226</v>
      </c>
      <c r="OR85" s="964" t="str">
        <f t="shared" ref="OR85" si="2311">+VLOOKUP(OS85,OR74:OS80,2,0)</f>
        <v>Otros costos</v>
      </c>
      <c r="OS85" s="961">
        <f t="shared" ref="OS85" si="2312">+LARGE((OR74:OR80),1)</f>
        <v>297638214.16745245</v>
      </c>
      <c r="PF85" s="964" t="str">
        <f t="shared" ref="PF85" si="2313">+VLOOKUP(PG85,PF74:PG80,2,0)</f>
        <v>Otros costos</v>
      </c>
      <c r="PG85" s="961">
        <f t="shared" ref="PG85" si="2314">+LARGE((PF74:PF80),1)</f>
        <v>72272407.105028823</v>
      </c>
      <c r="PT85" s="964" t="str">
        <f t="shared" ref="PT85" si="2315">+VLOOKUP(PU85,PT74:PU80,2,0)</f>
        <v>Otros costos</v>
      </c>
      <c r="PU85" s="961">
        <f t="shared" ref="PU85" si="2316">+LARGE((PT74:PT80),1)</f>
        <v>115388012.96804613</v>
      </c>
      <c r="QH85" s="964" t="str">
        <f t="shared" ref="QH85" si="2317">+VLOOKUP(QI85,QH74:QI80,2,0)</f>
        <v>Otros costos</v>
      </c>
      <c r="QI85" s="961">
        <f t="shared" ref="QI85" si="2318">+LARGE((QH74:QH80),1)</f>
        <v>38738046.98934871</v>
      </c>
      <c r="QV85" s="964" t="str">
        <f t="shared" ref="QV85" si="2319">+VLOOKUP(QW85,QV74:QW80,2,0)</f>
        <v>Otros costos</v>
      </c>
      <c r="QW85" s="961">
        <f t="shared" ref="QW85" si="2320">+LARGE((QV74:QV80),1)</f>
        <v>96225521.473371774</v>
      </c>
      <c r="RJ85" s="964" t="str">
        <f t="shared" ref="RJ85" si="2321">+VLOOKUP(RK85,RJ74:RK80,2,0)</f>
        <v>Otros costos</v>
      </c>
      <c r="RK85" s="961">
        <f t="shared" ref="RK85" si="2322">+LARGE((RJ74:RJ80),1)</f>
        <v>38738046.98934871</v>
      </c>
      <c r="RX85" s="964" t="str">
        <f t="shared" ref="RX85" si="2323">+VLOOKUP(RY85,RX74:RY80,2,0)</f>
        <v>Otros costos</v>
      </c>
      <c r="RY85" s="961">
        <f t="shared" ref="RY85" si="2324">+LARGE((RX74:RX80),1)</f>
        <v>62691161.357691653</v>
      </c>
      <c r="SL85" s="964" t="str">
        <f t="shared" ref="SL85" si="2325">+VLOOKUP(SM85,SL74:SM80,2,0)</f>
        <v>Talento humano</v>
      </c>
      <c r="SM85" s="961">
        <f t="shared" ref="SM85" si="2326">+LARGE((SL74:SL80),1)</f>
        <v>0</v>
      </c>
      <c r="SZ85" s="964" t="str">
        <f t="shared" ref="SZ85" si="2327">+VLOOKUP(TA85,SZ74:TA80,2,0)</f>
        <v>Otros costos</v>
      </c>
      <c r="TA85" s="961">
        <f t="shared" ref="TA85" si="2328">+LARGE((SZ74:SZ80),1)</f>
        <v>16829256220.829409</v>
      </c>
      <c r="TG85" s="105"/>
      <c r="TK85" s="105"/>
    </row>
    <row r="86" spans="2:531" ht="15.75" customHeight="1">
      <c r="B86" s="965" t="str">
        <f>+VLOOKUP(C86,B74:C80,2,0)</f>
        <v>Talento humano</v>
      </c>
      <c r="C86" s="962">
        <f>+LARGE((B74:B80),2)</f>
        <v>1008303541.7921667</v>
      </c>
      <c r="P86" s="965" t="str">
        <f t="shared" ref="P86" si="2329">+VLOOKUP(Q86,P74:Q80,2,0)</f>
        <v>Talento humano</v>
      </c>
      <c r="Q86" s="962">
        <f t="shared" ref="Q86" si="2330">+LARGE((P74:P80),2)</f>
        <v>243980575.53849998</v>
      </c>
      <c r="AD86" s="965" t="str">
        <f t="shared" ref="AD86" si="2331">+VLOOKUP(AE86,AD74:AE80,2,0)</f>
        <v>Talento humano</v>
      </c>
      <c r="AE86" s="962">
        <f t="shared" ref="AE86" si="2332">+LARGE((AD74:AD80),2)</f>
        <v>1252284117.3306668</v>
      </c>
      <c r="AR86" s="965" t="str">
        <f t="shared" ref="AR86" si="2333">+VLOOKUP(AS86,AR74:AS80,2,0)</f>
        <v>Talento humano</v>
      </c>
      <c r="AS86" s="962">
        <f t="shared" ref="AS86" si="2334">+LARGE((AR74:AR80),2)</f>
        <v>375446538.15366662</v>
      </c>
      <c r="BF86" s="965" t="str">
        <f t="shared" ref="BF86" si="2335">+VLOOKUP(BG86,BF74:BG80,2,0)</f>
        <v>Talento humano</v>
      </c>
      <c r="BG86" s="962">
        <f t="shared" ref="BG86" si="2336">+LARGE((BF74:BF80),2)</f>
        <v>532131238.47345835</v>
      </c>
      <c r="BT86" s="965" t="str">
        <f t="shared" ref="BT86" si="2337">+VLOOKUP(BU86,BT74:BU80,2,0)</f>
        <v>Talento humano</v>
      </c>
      <c r="BU86" s="962">
        <f t="shared" ref="BU86" si="2338">+LARGE((BT74:BT80),2)</f>
        <v>463189970.33275008</v>
      </c>
      <c r="CH86" s="965" t="str">
        <f t="shared" ref="CH86" si="2339">+VLOOKUP(CI86,CH74:CI80,2,0)</f>
        <v>Talento humano</v>
      </c>
      <c r="CI86" s="962">
        <f t="shared" ref="CI86" si="2340">+LARGE((CH74:CH80),2)</f>
        <v>469457358.34554172</v>
      </c>
      <c r="CV86" s="965" t="str">
        <f t="shared" ref="CV86" si="2341">+VLOOKUP(CW86,CV74:CW80,2,0)</f>
        <v>Talento humano</v>
      </c>
      <c r="CW86" s="962">
        <f t="shared" ref="CW86" si="2342">+LARGE((CV74:CV80),2)</f>
        <v>256515351.56408334</v>
      </c>
      <c r="DJ86" s="965" t="str">
        <f t="shared" ref="DJ86" si="2343">+VLOOKUP(DK86,DJ74:DK80,2,0)</f>
        <v>Talento humano</v>
      </c>
      <c r="DK86" s="962">
        <f t="shared" ref="DK86" si="2344">+LARGE((DJ74:DJ80),2)</f>
        <v>500794298.40950006</v>
      </c>
      <c r="DX86" s="965" t="str">
        <f t="shared" ref="DX86" si="2345">+VLOOKUP(DY86,DX74:DY80,2,0)</f>
        <v>Talento humano</v>
      </c>
      <c r="DY86" s="962">
        <f t="shared" ref="DY86" si="2346">+LARGE((DX74:DX80),2)</f>
        <v>369179150.14087504</v>
      </c>
      <c r="EL86" s="965" t="str">
        <f t="shared" ref="EL86" si="2347">+VLOOKUP(EM86,EL74:EM80,2,0)</f>
        <v>Talento humano</v>
      </c>
      <c r="EM86" s="962">
        <f t="shared" ref="EM86" si="2348">+LARGE((EL74:EL80),2)</f>
        <v>519596462.44787502</v>
      </c>
      <c r="EZ86" s="965" t="str">
        <f t="shared" ref="EZ86" si="2349">+VLOOKUP(FA86,EZ74:FA80,2,0)</f>
        <v>Talento humano</v>
      </c>
      <c r="FA86" s="962">
        <f t="shared" ref="FA86" si="2350">+LARGE((EZ74:EZ80),2)</f>
        <v>557200790.52462506</v>
      </c>
      <c r="FN86" s="965" t="str">
        <f t="shared" ref="FN86" si="2351">+VLOOKUP(FO86,FN74:FO80,2,0)</f>
        <v>Talento humano</v>
      </c>
      <c r="FO86" s="962">
        <f t="shared" ref="FO86" si="2352">+LARGE((FN74:FN80),2)</f>
        <v>409917172.2240209</v>
      </c>
      <c r="GB86" s="965" t="str">
        <f t="shared" ref="GB86" si="2353">+VLOOKUP(GC86,GB74:GC80,2,0)</f>
        <v>Talento humano</v>
      </c>
      <c r="GC86" s="962">
        <f t="shared" ref="GC86" si="2354">+LARGE((GB74:GB80),2)</f>
        <v>322322925.69839579</v>
      </c>
      <c r="GP86" s="965" t="str">
        <f t="shared" ref="GP86" si="2355">+VLOOKUP(GQ86,GP74:GQ80,2,0)</f>
        <v>Talento humano</v>
      </c>
      <c r="GQ86" s="962">
        <f t="shared" ref="GQ86" si="2356">+LARGE((GP74:GP80),2)</f>
        <v>206376247.46174997</v>
      </c>
      <c r="HD86" s="965" t="str">
        <f t="shared" ref="HD86" si="2357">+VLOOKUP(HE86,HD74:HE80,2,0)</f>
        <v>Talento humano</v>
      </c>
      <c r="HE86" s="962">
        <f t="shared" ref="HE86" si="2358">+LARGE((HD74:HD80),2)</f>
        <v>632260261.02466667</v>
      </c>
      <c r="HR86" s="965" t="str">
        <f t="shared" ref="HR86" si="2359">+VLOOKUP(HS86,HR74:HS80,2,0)</f>
        <v>Talento humano</v>
      </c>
      <c r="HS86" s="962">
        <f t="shared" ref="HS86" si="2360">+LARGE((HR74:HR80),2)</f>
        <v>231445799.51291665</v>
      </c>
      <c r="IF86" s="965" t="str">
        <f t="shared" ref="IF86" si="2361">+VLOOKUP(IG86,IF74:IG80,2,0)</f>
        <v>Talento humano</v>
      </c>
      <c r="IG86" s="962">
        <f t="shared" ref="IG86" si="2362">+LARGE((IF74:IF80),2)</f>
        <v>156237143.35941666</v>
      </c>
      <c r="IT86" s="965" t="str">
        <f t="shared" ref="IT86" si="2363">+VLOOKUP(IU86,IT74:IU80,2,0)</f>
        <v>Talento humano</v>
      </c>
      <c r="IU86" s="962">
        <f t="shared" ref="IU86" si="2364">+LARGE((IT74:IT80),2)</f>
        <v>920560109.61308336</v>
      </c>
      <c r="JH86" s="965" t="str">
        <f t="shared" ref="JH86" si="2365">+VLOOKUP(JI86,JH74:JI80,2,0)</f>
        <v>Talento humano</v>
      </c>
      <c r="JI86" s="962">
        <f t="shared" ref="JI86" si="2366">+LARGE((JH74:JH80),2)</f>
        <v>1076797252.9724998</v>
      </c>
      <c r="JV86" s="965" t="str">
        <f t="shared" ref="JV86" si="2367">+VLOOKUP(JW86,JV74:JW80,2,0)</f>
        <v>Talento humano</v>
      </c>
      <c r="JW86" s="962">
        <f t="shared" ref="JW86" si="2368">+LARGE((JV74:JV80),2)</f>
        <v>312921843.67920834</v>
      </c>
      <c r="KJ86" s="965" t="str">
        <f t="shared" ref="KJ86" si="2369">+VLOOKUP(KK86,KJ74:KK80,2,0)</f>
        <v>Talento humano</v>
      </c>
      <c r="KK86" s="962">
        <f t="shared" ref="KK86" si="2370">+LARGE((KJ74:KJ80),2)</f>
        <v>193841471.43616664</v>
      </c>
      <c r="KX86" s="965" t="str">
        <f t="shared" ref="KX86" si="2371">+VLOOKUP(KY86,KX74:KY80,2,0)</f>
        <v>Talento humano</v>
      </c>
      <c r="KY86" s="962">
        <f t="shared" ref="KY86" si="2372">+LARGE((KX74:KX80),2)</f>
        <v>162504531.37220833</v>
      </c>
      <c r="LL86" s="965" t="str">
        <f t="shared" ref="LL86" si="2373">+VLOOKUP(LM86,LL74:LM80,2,0)</f>
        <v>Talento humano</v>
      </c>
      <c r="LM86" s="962">
        <f t="shared" ref="LM86" si="2374">+LARGE((LL74:LL80),2)</f>
        <v>403649784.21122921</v>
      </c>
      <c r="LZ86" s="965" t="str">
        <f t="shared" ref="LZ86" si="2375">+VLOOKUP(MA86,LZ74:MA80,2,0)</f>
        <v>Talento humano</v>
      </c>
      <c r="MA86" s="962">
        <f t="shared" ref="MA86" si="2376">+LARGE((LZ74:LZ80),2)</f>
        <v>400516090.20483333</v>
      </c>
      <c r="MN86" s="965" t="str">
        <f t="shared" ref="MN86" si="2377">+VLOOKUP(MO86,MN74:MO80,2,0)</f>
        <v>Talento humano</v>
      </c>
      <c r="MO86" s="962">
        <f t="shared" ref="MO86" si="2378">+LARGE((MN74:MN80),2)</f>
        <v>419318254.24320835</v>
      </c>
      <c r="NB86" s="965" t="str">
        <f t="shared" ref="NB86" si="2379">+VLOOKUP(NC86,NB74:NC80,2,0)</f>
        <v>Talento humano</v>
      </c>
      <c r="NC86" s="962">
        <f t="shared" ref="NC86" si="2380">+LARGE((NB74:NB80),2)</f>
        <v>767009103.29968739</v>
      </c>
      <c r="NP86" s="965" t="str">
        <f t="shared" ref="NP86" si="2381">+VLOOKUP(NQ86,NP74:NQ80,2,0)</f>
        <v>Talento humano</v>
      </c>
      <c r="NQ86" s="962">
        <f t="shared" ref="NQ86" si="2382">+LARGE((NP74:NP80),2)</f>
        <v>131316776.96170834</v>
      </c>
      <c r="OD86" s="965" t="str">
        <f t="shared" ref="OD86" si="2383">+VLOOKUP(OE86,OD74:OE80,2,0)</f>
        <v>Talento humano</v>
      </c>
      <c r="OE86" s="962">
        <f t="shared" ref="OE86" si="2384">+LARGE((OD74:OD80),2)</f>
        <v>168771919.38499999</v>
      </c>
      <c r="OR86" s="965" t="str">
        <f t="shared" ref="OR86" si="2385">+VLOOKUP(OS86,OR74:OS80,2,0)</f>
        <v>Talento humano</v>
      </c>
      <c r="OS86" s="962">
        <f t="shared" ref="OS86" si="2386">+LARGE((OR74:OR80),2)</f>
        <v>212643635.47454166</v>
      </c>
      <c r="PF86" s="965" t="str">
        <f t="shared" ref="PF86" si="2387">+VLOOKUP(PG86,PF74:PG80,2,0)</f>
        <v>Talento humano</v>
      </c>
      <c r="PG86" s="962">
        <f t="shared" ref="PG86" si="2388">+LARGE((PF74:PF80),2)</f>
        <v>59241814.814604163</v>
      </c>
      <c r="PT86" s="965" t="str">
        <f t="shared" ref="PT86" si="2389">+VLOOKUP(PU86,PT74:PU80,2,0)</f>
        <v>Talento humano</v>
      </c>
      <c r="PU86" s="962">
        <f t="shared" ref="PU86" si="2390">+LARGE((PT74:PT80),2)</f>
        <v>87445060.872166663</v>
      </c>
      <c r="QH86" s="965" t="str">
        <f t="shared" ref="QH86" si="2391">+VLOOKUP(QI86,QH74:QI80,2,0)</f>
        <v>Talento humano</v>
      </c>
      <c r="QI86" s="962">
        <f t="shared" ref="QI86" si="2392">+LARGE((QH74:QH80),2)</f>
        <v>37305956.769833334</v>
      </c>
      <c r="QV86" s="965" t="str">
        <f t="shared" ref="QV86" si="2393">+VLOOKUP(QW86,QV74:QW80,2,0)</f>
        <v>Talento humano</v>
      </c>
      <c r="QW86" s="962">
        <f t="shared" ref="QW86" si="2394">+LARGE((QV74:QV80),2)</f>
        <v>74910284.846583337</v>
      </c>
      <c r="RJ86" s="965" t="str">
        <f t="shared" ref="RJ86" si="2395">+VLOOKUP(RK86,RJ74:RK80,2,0)</f>
        <v>Talento humano</v>
      </c>
      <c r="RK86" s="962">
        <f t="shared" ref="RK86" si="2396">+LARGE((RJ74:RJ80),2)</f>
        <v>37305956.769833334</v>
      </c>
      <c r="RX86" s="965" t="str">
        <f t="shared" ref="RX86" si="2397">+VLOOKUP(RY86,RX74:RY80,2,0)</f>
        <v>Talento humano</v>
      </c>
      <c r="RY86" s="962">
        <f t="shared" ref="RY86" si="2398">+LARGE((RX74:RX80),2)</f>
        <v>52974426.8018125</v>
      </c>
      <c r="SL86" s="965" t="str">
        <f t="shared" ref="SL86" si="2399">+VLOOKUP(SM86,SL74:SM80,2,0)</f>
        <v>Talento humano</v>
      </c>
      <c r="SM86" s="962">
        <f t="shared" ref="SM86" si="2400">+LARGE((SL74:SL80),2)</f>
        <v>0</v>
      </c>
      <c r="SZ86" s="965" t="str">
        <f t="shared" ref="SZ86" si="2401">+VLOOKUP(TA86,SZ74:TA80,2,0)</f>
        <v>Talento humano</v>
      </c>
      <c r="TA86" s="962">
        <f t="shared" ref="TA86" si="2402">+LARGE((SZ74:SZ80),2)</f>
        <v>11696591845.759918</v>
      </c>
      <c r="TG86" s="105"/>
      <c r="TK86" s="105"/>
    </row>
    <row r="87" spans="2:531" ht="15.75" customHeight="1">
      <c r="B87" s="965" t="str">
        <f>+VLOOKUP(C87,B74:C80,2,0)</f>
        <v>Administración</v>
      </c>
      <c r="C87" s="962">
        <f>+LARGE((B74:B80),3)</f>
        <v>184117596.98518264</v>
      </c>
      <c r="P87" s="965" t="str">
        <f t="shared" ref="P87" si="2403">+VLOOKUP(Q87,P74:Q80,2,0)</f>
        <v>Administración</v>
      </c>
      <c r="Q87" s="962">
        <f t="shared" ref="Q87" si="2404">+LARGE((P74:P80),3)</f>
        <v>43290646.212720238</v>
      </c>
      <c r="AD87" s="965" t="str">
        <f t="shared" ref="AD87" si="2405">+VLOOKUP(AE87,AD74:AE80,2,0)</f>
        <v>Administración</v>
      </c>
      <c r="AE87" s="962">
        <f t="shared" ref="AE87" si="2406">+LARGE((AD74:AD80),3)</f>
        <v>227408243.19790286</v>
      </c>
      <c r="AR87" s="965" t="str">
        <f t="shared" ref="AR87" si="2407">+VLOOKUP(AS87,AR74:AS80,2,0)</f>
        <v>Administración</v>
      </c>
      <c r="AS87" s="962">
        <f t="shared" ref="AS87" si="2408">+LARGE((AR74:AR80),3)</f>
        <v>65657598.577790186</v>
      </c>
      <c r="BF87" s="965" t="str">
        <f t="shared" ref="BF87" si="2409">+VLOOKUP(BG87,BF74:BG80,2,0)</f>
        <v>Administración</v>
      </c>
      <c r="BG87" s="962">
        <f t="shared" ref="BG87" si="2410">+LARGE((BF74:BF80),3)</f>
        <v>94193947.676577464</v>
      </c>
      <c r="BT87" s="965" t="str">
        <f t="shared" ref="BT87" si="2411">+VLOOKUP(BU87,BT74:BU80,2,0)</f>
        <v>Administración</v>
      </c>
      <c r="BU87" s="962">
        <f t="shared" ref="BU87" si="2412">+LARGE((BT74:BT80),3)</f>
        <v>80584621.32236442</v>
      </c>
      <c r="CH87" s="965" t="str">
        <f t="shared" ref="CH87" si="2413">+VLOOKUP(CI87,CH74:CI80,2,0)</f>
        <v>Administración</v>
      </c>
      <c r="CI87" s="962">
        <f t="shared" ref="CI87" si="2414">+LARGE((CH74:CH80),3)</f>
        <v>80550963.158609539</v>
      </c>
      <c r="CV87" s="965" t="str">
        <f t="shared" ref="CV87" si="2415">+VLOOKUP(CW87,CV74:CW80,2,0)</f>
        <v>Administración</v>
      </c>
      <c r="CW87" s="962">
        <f t="shared" ref="CW87" si="2416">+LARGE((CV74:CV80),3)</f>
        <v>44182191.958652705</v>
      </c>
      <c r="DJ87" s="965" t="str">
        <f t="shared" ref="DJ87" si="2417">+VLOOKUP(DK87,DJ74:DK80,2,0)</f>
        <v>Administración</v>
      </c>
      <c r="DK87" s="962">
        <f t="shared" ref="DK87" si="2418">+LARGE((DJ74:DJ80),3)</f>
        <v>89821931.823121831</v>
      </c>
      <c r="DX87" s="965" t="str">
        <f t="shared" ref="DX87" si="2419">+VLOOKUP(DY87,DX74:DY80,2,0)</f>
        <v>Administración</v>
      </c>
      <c r="DY87" s="962">
        <f t="shared" ref="DY87" si="2420">+LARGE((DX74:DX80),3)</f>
        <v>64516144.613838702</v>
      </c>
      <c r="EL87" s="965" t="str">
        <f t="shared" ref="EL87" si="2421">+VLOOKUP(EM87,EL74:EM80,2,0)</f>
        <v>Administración</v>
      </c>
      <c r="EM87" s="962">
        <f t="shared" ref="EM87" si="2422">+LARGE((EL74:EL80),3)</f>
        <v>91911039.748674467</v>
      </c>
      <c r="EZ87" s="965" t="str">
        <f t="shared" ref="EZ87" si="2423">+VLOOKUP(FA87,EZ74:FA80,2,0)</f>
        <v>Administración</v>
      </c>
      <c r="FA87" s="962">
        <f t="shared" ref="FA87" si="2424">+LARGE((EZ74:EZ80),3)</f>
        <v>98869541.143528625</v>
      </c>
      <c r="FN87" s="965" t="str">
        <f t="shared" ref="FN87" si="2425">+VLOOKUP(FO87,FN74:FO80,2,0)</f>
        <v>Administración</v>
      </c>
      <c r="FO87" s="962">
        <f t="shared" ref="FO87" si="2426">+LARGE((FN74:FN80),3)</f>
        <v>71935595.379523396</v>
      </c>
      <c r="GB87" s="965" t="str">
        <f t="shared" ref="GB87" si="2427">+VLOOKUP(GC87,GB74:GC80,2,0)</f>
        <v>Administración</v>
      </c>
      <c r="GC87" s="962">
        <f t="shared" ref="GC87" si="2428">+LARGE((GB74:GB80),3)</f>
        <v>55615252.079635113</v>
      </c>
      <c r="GP87" s="965" t="str">
        <f t="shared" ref="GP87" si="2429">+VLOOKUP(GQ87,GP74:GQ80,2,0)</f>
        <v>Administración</v>
      </c>
      <c r="GQ87" s="962">
        <f t="shared" ref="GQ87" si="2430">+LARGE((GP74:GP80),3)</f>
        <v>34787164.834439546</v>
      </c>
      <c r="HD87" s="965" t="str">
        <f t="shared" ref="HD87" si="2431">+VLOOKUP(HE87,HD74:HE80,2,0)</f>
        <v>Administración</v>
      </c>
      <c r="HE87" s="962">
        <f t="shared" ref="HE87" si="2432">+LARGE((HD74:HD80),3)</f>
        <v>111749801.2849765</v>
      </c>
      <c r="HR87" s="965" t="str">
        <f t="shared" ref="HR87" si="2433">+VLOOKUP(HS87,HR74:HS80,2,0)</f>
        <v>Administración</v>
      </c>
      <c r="HS87" s="962">
        <f t="shared" ref="HS87" si="2434">+LARGE((HR74:HR80),3)</f>
        <v>39251980.536019705</v>
      </c>
      <c r="IF87" s="965" t="str">
        <f t="shared" ref="IF87" si="2435">+VLOOKUP(IG87,IF74:IG80,2,0)</f>
        <v>Administración</v>
      </c>
      <c r="IG87" s="962">
        <f t="shared" ref="IG87" si="2436">+LARGE((IF74:IF80),3)</f>
        <v>26402204.964523125</v>
      </c>
      <c r="IT87" s="965" t="str">
        <f t="shared" ref="IT87" si="2437">+VLOOKUP(IU87,IT74:IU80,2,0)</f>
        <v>Administración</v>
      </c>
      <c r="IU87" s="962">
        <f t="shared" ref="IU87" si="2438">+LARGE((IT74:IT80),3)</f>
        <v>164179890.96304163</v>
      </c>
      <c r="JH87" s="965" t="str">
        <f t="shared" ref="JH87" si="2439">+VLOOKUP(JI87,JH74:JI80,2,0)</f>
        <v>Administración</v>
      </c>
      <c r="JI87" s="962">
        <f t="shared" ref="JI87" si="2440">+LARGE((JH74:JH80),3)</f>
        <v>190582095.92756477</v>
      </c>
      <c r="JV87" s="965" t="str">
        <f t="shared" ref="JV87" si="2441">+VLOOKUP(JW87,JV74:JW80,2,0)</f>
        <v>Administración</v>
      </c>
      <c r="JW87" s="962">
        <f t="shared" ref="JW87" si="2442">+LARGE((JV74:JV80),3)</f>
        <v>55316056.913083777</v>
      </c>
      <c r="KJ87" s="965" t="str">
        <f t="shared" ref="KJ87" si="2443">+VLOOKUP(KK87,KJ74:KK80,2,0)</f>
        <v>Administración</v>
      </c>
      <c r="KK87" s="962">
        <f t="shared" ref="KK87" si="2444">+LARGE((KJ74:KJ80),3)</f>
        <v>33262843.438021775</v>
      </c>
      <c r="KX87" s="965" t="str">
        <f t="shared" ref="KX87" si="2445">+VLOOKUP(KY87,KX74:KY80,2,0)</f>
        <v>Administración</v>
      </c>
      <c r="KY87" s="962">
        <f t="shared" ref="KY87" si="2446">+LARGE((KX74:KX80),3)</f>
        <v>27058381.950431149</v>
      </c>
      <c r="LL87" s="965" t="str">
        <f t="shared" ref="LL87" si="2447">+VLOOKUP(LM87,LL74:LM80,2,0)</f>
        <v>Administración</v>
      </c>
      <c r="LM87" s="962">
        <f t="shared" ref="LM87" si="2448">+LARGE((LL74:LL80),3)</f>
        <v>70794141.415571898</v>
      </c>
      <c r="LZ87" s="965" t="str">
        <f t="shared" ref="LZ87" si="2449">+VLOOKUP(MA87,LZ74:MA80,2,0)</f>
        <v>Administración</v>
      </c>
      <c r="MA87" s="962">
        <f t="shared" ref="MA87" si="2450">+LARGE((LZ74:LZ80),3)</f>
        <v>70223414.433596149</v>
      </c>
      <c r="MN87" s="965" t="str">
        <f t="shared" ref="MN87" si="2451">+VLOOKUP(MO87,MN74:MO80,2,0)</f>
        <v>Administración</v>
      </c>
      <c r="MO87" s="962">
        <f t="shared" ref="MO87" si="2452">+LARGE((MN74:MN80),3)</f>
        <v>71857682.110125825</v>
      </c>
      <c r="NB87" s="965" t="str">
        <f t="shared" ref="NB87" si="2453">+VLOOKUP(NC87,NB74:NC80,2,0)</f>
        <v>Administración</v>
      </c>
      <c r="NC87" s="962">
        <f t="shared" ref="NC87" si="2454">+LARGE((NB74:NB80),3)</f>
        <v>137521206.12820268</v>
      </c>
      <c r="NP87" s="965" t="str">
        <f t="shared" ref="NP87" si="2455">+VLOOKUP(NQ87,NP74:NQ80,2,0)</f>
        <v>Administración</v>
      </c>
      <c r="NQ87" s="962">
        <f t="shared" ref="NQ87" si="2456">+LARGE((NP74:NP80),3)</f>
        <v>21891781.651439559</v>
      </c>
      <c r="OD87" s="965" t="str">
        <f t="shared" ref="OD87" si="2457">+VLOOKUP(OE87,OD74:OE80,2,0)</f>
        <v>Administración</v>
      </c>
      <c r="OE87" s="962">
        <f t="shared" ref="OE87" si="2458">+LARGE((OD74:OD80),3)</f>
        <v>28531133.095216412</v>
      </c>
      <c r="OR87" s="965" t="str">
        <f t="shared" ref="OR87" si="2459">+VLOOKUP(OS87,OR74:OS80,2,0)</f>
        <v>Administración</v>
      </c>
      <c r="OS87" s="962">
        <f t="shared" ref="OS87" si="2460">+LARGE((OR74:OR80),3)</f>
        <v>36045822.238706291</v>
      </c>
      <c r="PF87" s="965" t="str">
        <f t="shared" ref="PF87" si="2461">+VLOOKUP(PG87,PF74:PG80,2,0)</f>
        <v>Administración</v>
      </c>
      <c r="PG87" s="962">
        <f t="shared" ref="PG87" si="2462">+LARGE((PF74:PF80),3)</f>
        <v>9166309.4397290088</v>
      </c>
      <c r="PT87" s="965" t="str">
        <f t="shared" ref="PT87" si="2463">+VLOOKUP(PU87,PT74:PU80,2,0)</f>
        <v>Administración</v>
      </c>
      <c r="PU87" s="962">
        <f t="shared" ref="PU87" si="2464">+LARGE((PT74:PT80),3)</f>
        <v>14145842.044311397</v>
      </c>
      <c r="QH87" s="965" t="str">
        <f t="shared" ref="QH87" si="2465">+VLOOKUP(QI87,QH74:QI80,2,0)</f>
        <v>Administración</v>
      </c>
      <c r="QI87" s="962">
        <f t="shared" ref="QI87" si="2466">+LARGE((QH74:QH80),3)</f>
        <v>5293339.6361649297</v>
      </c>
      <c r="QV87" s="965" t="str">
        <f t="shared" ref="QV87" si="2467">+VLOOKUP(QW87,QV74:QW80,2,0)</f>
        <v>Administración</v>
      </c>
      <c r="QW87" s="962">
        <f t="shared" ref="QW87" si="2468">+LARGE((QV74:QV80),3)</f>
        <v>11932716.442274781</v>
      </c>
      <c r="RJ87" s="965" t="str">
        <f t="shared" ref="RJ87" si="2469">+VLOOKUP(RK87,RJ74:RK80,2,0)</f>
        <v>Administración</v>
      </c>
      <c r="RK87" s="962">
        <f t="shared" ref="RK87" si="2470">+LARGE((RJ74:RJ80),3)</f>
        <v>5307560.5168877272</v>
      </c>
      <c r="RX87" s="965" t="str">
        <f t="shared" ref="RX87" si="2471">+VLOOKUP(RY87,RX74:RY80,2,0)</f>
        <v>Administración</v>
      </c>
      <c r="RY87" s="962">
        <f t="shared" ref="RY87" si="2472">+LARGE((RX74:RX80),3)</f>
        <v>8059746.6387107009</v>
      </c>
      <c r="SL87" s="965" t="str">
        <f t="shared" ref="SL87" si="2473">+VLOOKUP(SM87,SL74:SM80,2,0)</f>
        <v>Talento humano</v>
      </c>
      <c r="SM87" s="962">
        <f t="shared" ref="SM87" si="2474">+LARGE((SL74:SL80),3)</f>
        <v>0</v>
      </c>
      <c r="SZ87" s="965" t="str">
        <f t="shared" ref="SZ87" si="2475">+VLOOKUP(TA87,SZ74:TA80,2,0)</f>
        <v>Administración</v>
      </c>
      <c r="TA87" s="962">
        <f t="shared" ref="TA87" si="2476">+LARGE((SZ74:SZ80),3)</f>
        <v>2048026091.3556938</v>
      </c>
      <c r="TG87" s="105"/>
      <c r="TK87" s="105"/>
    </row>
    <row r="88" spans="2:531" ht="15.75" customHeight="1">
      <c r="B88" s="965" t="str">
        <f>+VLOOKUP(C88,B74:C80,2,0)</f>
        <v>Transporte</v>
      </c>
      <c r="C88" s="962">
        <f>+LARGE((B74:B80),4)</f>
        <v>183837592.79378265</v>
      </c>
      <c r="P88" s="965" t="str">
        <f t="shared" ref="P88" si="2477">+VLOOKUP(Q88,P74:Q80,2,0)</f>
        <v>Transporte</v>
      </c>
      <c r="Q88" s="962">
        <f t="shared" ref="Q88" si="2478">+LARGE((P74:P80),4)</f>
        <v>42455218.239408858</v>
      </c>
      <c r="AD88" s="965" t="str">
        <f t="shared" ref="AD88" si="2479">+VLOOKUP(AE88,AD74:AE80,2,0)</f>
        <v>Transporte</v>
      </c>
      <c r="AE88" s="962">
        <f t="shared" ref="AE88" si="2480">+LARGE((AD74:AD80),4)</f>
        <v>226292811.0331915</v>
      </c>
      <c r="AR88" s="965" t="str">
        <f t="shared" ref="AR88" si="2481">+VLOOKUP(AS88,AR74:AS80,2,0)</f>
        <v>Transporte</v>
      </c>
      <c r="AS88" s="962">
        <f t="shared" ref="AS88" si="2482">+LARGE((AR74:AR80),4)</f>
        <v>45682660.722315401</v>
      </c>
      <c r="BF88" s="965" t="str">
        <f t="shared" ref="BF88" si="2483">+VLOOKUP(BG88,BF74:BG80,2,0)</f>
        <v>Transporte</v>
      </c>
      <c r="BG88" s="962">
        <f t="shared" ref="BG88" si="2484">+LARGE((BF74:BF80),4)</f>
        <v>66055854.657594405</v>
      </c>
      <c r="BT88" s="965" t="str">
        <f t="shared" ref="BT88" si="2485">+VLOOKUP(BU88,BT74:BU80,2,0)</f>
        <v>Transporte</v>
      </c>
      <c r="BU88" s="962">
        <f t="shared" ref="BU88" si="2486">+LARGE((BT74:BT80),4)</f>
        <v>41714528.877215654</v>
      </c>
      <c r="CH88" s="965" t="str">
        <f t="shared" ref="CH88" si="2487">+VLOOKUP(CI88,CH74:CI80,2,0)</f>
        <v>Transporte</v>
      </c>
      <c r="CI88" s="962">
        <f t="shared" ref="CI88" si="2488">+LARGE((CH74:CH80),4)</f>
        <v>25374535.062271141</v>
      </c>
      <c r="CV88" s="965" t="str">
        <f t="shared" ref="CV88" si="2489">+VLOOKUP(CW88,CV74:CW80,2,0)</f>
        <v>Transporte</v>
      </c>
      <c r="CW88" s="962">
        <f t="shared" ref="CW88" si="2490">+LARGE((CV74:CV80),4)</f>
        <v>23773217.083128672</v>
      </c>
      <c r="DJ88" s="965" t="str">
        <f t="shared" ref="DJ88" si="2491">+VLOOKUP(DK88,DJ74:DK80,2,0)</f>
        <v>Transporte</v>
      </c>
      <c r="DK88" s="962">
        <f t="shared" ref="DK88" si="2492">+LARGE((DJ74:DJ80),4)</f>
        <v>81473974.50268203</v>
      </c>
      <c r="DX88" s="965" t="str">
        <f t="shared" ref="DX88" si="2493">+VLOOKUP(DY88,DX74:DY80,2,0)</f>
        <v>Transporte</v>
      </c>
      <c r="DY88" s="962">
        <f t="shared" ref="DY88" si="2494">+LARGE((DX74:DX80),4)</f>
        <v>44867732.964904234</v>
      </c>
      <c r="EL88" s="965" t="str">
        <f t="shared" ref="EL88" si="2495">+VLOOKUP(EM88,EL74:EM80,2,0)</f>
        <v>Transporte</v>
      </c>
      <c r="EM88" s="962">
        <f t="shared" ref="EM88" si="2496">+LARGE((EL74:EL80),4)</f>
        <v>64425999.142772079</v>
      </c>
      <c r="EZ88" s="965" t="str">
        <f t="shared" ref="EZ88" si="2497">+VLOOKUP(FA88,EZ74:FA80,2,0)</f>
        <v>Transporte</v>
      </c>
      <c r="FA88" s="962">
        <f t="shared" ref="FA88" si="2498">+LARGE((EZ74:EZ80),4)</f>
        <v>70918158.550672919</v>
      </c>
      <c r="FN88" s="965" t="str">
        <f t="shared" ref="FN88" si="2499">+VLOOKUP(FO88,FN74:FO80,2,0)</f>
        <v>Transporte</v>
      </c>
      <c r="FO88" s="962">
        <f t="shared" ref="FO88" si="2500">+LARGE((FN74:FN80),4)</f>
        <v>50164763.388076782</v>
      </c>
      <c r="GB88" s="965" t="str">
        <f t="shared" ref="GB88" si="2501">+VLOOKUP(GC88,GB74:GC80,2,0)</f>
        <v>Transporte</v>
      </c>
      <c r="GC88" s="962">
        <f t="shared" ref="GC88" si="2502">+LARGE((GB74:GB80),4)</f>
        <v>24268549.769402295</v>
      </c>
      <c r="GP88" s="965" t="str">
        <f t="shared" ref="GP88" si="2503">+VLOOKUP(GQ88,GP74:GQ80,2,0)</f>
        <v>Transporte</v>
      </c>
      <c r="GQ88" s="962">
        <f t="shared" ref="GQ88" si="2504">+LARGE((GP74:GP80),4)</f>
        <v>13408606.518712083</v>
      </c>
      <c r="HD88" s="965" t="str">
        <f t="shared" ref="HD88" si="2505">+VLOOKUP(HE88,HD74:HE80,2,0)</f>
        <v>Transporte</v>
      </c>
      <c r="HE88" s="962">
        <f t="shared" ref="HE88" si="2506">+LARGE((HD74:HD80),4)</f>
        <v>78291447.595584422</v>
      </c>
      <c r="HR88" s="965" t="str">
        <f t="shared" ref="HR88" si="2507">+VLOOKUP(HS88,HR74:HS80,2,0)</f>
        <v>Transporte</v>
      </c>
      <c r="HS88" s="962">
        <f t="shared" ref="HS88" si="2508">+LARGE((HR74:HR80),4)</f>
        <v>15193862.742140623</v>
      </c>
      <c r="IF88" s="965" t="str">
        <f t="shared" ref="IF88" si="2509">+VLOOKUP(IG88,IF74:IG80,2,0)</f>
        <v>Transporte</v>
      </c>
      <c r="IG88" s="962">
        <f t="shared" ref="IG88" si="2510">+LARGE((IF74:IF80),4)</f>
        <v>17789503.316291302</v>
      </c>
      <c r="IT88" s="965" t="str">
        <f t="shared" ref="IT88" si="2511">+VLOOKUP(IU88,IT74:IU80,2,0)</f>
        <v>Transporte</v>
      </c>
      <c r="IU88" s="962">
        <f t="shared" ref="IU88" si="2512">+LARGE((IT74:IT80),4)</f>
        <v>114657063.65250628</v>
      </c>
      <c r="JH88" s="965" t="str">
        <f t="shared" ref="JH88" si="2513">+VLOOKUP(JI88,JH74:JI80,2,0)</f>
        <v>Transporte</v>
      </c>
      <c r="JI88" s="962">
        <f t="shared" ref="JI88" si="2514">+LARGE((JH74:JH80),4)</f>
        <v>132446566.96879758</v>
      </c>
      <c r="JV88" s="965" t="str">
        <f t="shared" ref="JV88" si="2515">+VLOOKUP(JW88,JV74:JW80,2,0)</f>
        <v>Transporte</v>
      </c>
      <c r="JW88" s="962">
        <f t="shared" ref="JW88" si="2516">+LARGE((JV74:JV80),4)</f>
        <v>43673687.759211145</v>
      </c>
      <c r="KJ88" s="965" t="str">
        <f t="shared" ref="KJ88" si="2517">+VLOOKUP(KK88,KJ74:KK80,2,0)</f>
        <v>Transporte</v>
      </c>
      <c r="KK88" s="962">
        <f t="shared" ref="KK88" si="2518">+LARGE((KJ74:KJ80),4)</f>
        <v>22853006.937980309</v>
      </c>
      <c r="KX88" s="965" t="str">
        <f t="shared" ref="KX88" si="2519">+VLOOKUP(KY88,KX74:KY80,2,0)</f>
        <v>Transporte</v>
      </c>
      <c r="KY88" s="962">
        <f t="shared" ref="KY88" si="2520">+LARGE((KX74:KX80),4)</f>
        <v>11520095.627812494</v>
      </c>
      <c r="LL88" s="965" t="str">
        <f t="shared" ref="LL88" si="2521">+VLOOKUP(LM88,LL74:LM80,2,0)</f>
        <v>Transporte</v>
      </c>
      <c r="LM88" s="962">
        <f t="shared" ref="LM88" si="2522">+LARGE((LL74:LL80),4)</f>
        <v>49349835.630665623</v>
      </c>
      <c r="LZ88" s="965" t="str">
        <f t="shared" ref="LZ88" si="2523">+VLOOKUP(MA88,LZ74:MA80,2,0)</f>
        <v>Transporte</v>
      </c>
      <c r="MA88" s="962">
        <f t="shared" ref="MA88" si="2524">+LARGE((LZ74:LZ80),4)</f>
        <v>48942371.751960039</v>
      </c>
      <c r="MN88" s="965" t="str">
        <f t="shared" ref="MN88" si="2525">+VLOOKUP(MO88,MN74:MO80,2,0)</f>
        <v>Transporte</v>
      </c>
      <c r="MO88" s="962">
        <f t="shared" ref="MO88" si="2526">+LARGE((MN74:MN80),4)</f>
        <v>25254392.756678045</v>
      </c>
      <c r="NB88" s="965" t="str">
        <f t="shared" ref="NB88" si="2527">+VLOOKUP(NC88,NB74:NC80,2,0)</f>
        <v>Transporte</v>
      </c>
      <c r="NC88" s="962">
        <f t="shared" ref="NC88" si="2528">+LARGE((NB74:NB80),4)</f>
        <v>113770709.97509444</v>
      </c>
      <c r="NP88" s="965" t="str">
        <f t="shared" ref="NP88" si="2529">+VLOOKUP(NQ88,NP74:NQ80,2,0)</f>
        <v>Transporte</v>
      </c>
      <c r="NQ88" s="962">
        <f t="shared" ref="NQ88" si="2530">+LARGE((NP74:NP80),4)</f>
        <v>5814543.1445722058</v>
      </c>
      <c r="OD88" s="965" t="str">
        <f t="shared" ref="OD88" si="2531">+VLOOKUP(OE88,OD74:OE80,2,0)</f>
        <v>Transporte</v>
      </c>
      <c r="OE88" s="962">
        <f t="shared" ref="OE88" si="2532">+LARGE((OD74:OD80),4)</f>
        <v>17171478.579877224</v>
      </c>
      <c r="OR88" s="965" t="str">
        <f t="shared" ref="OR88" si="2533">+VLOOKUP(OS88,OR74:OS80,2,0)</f>
        <v>Transporte</v>
      </c>
      <c r="OS88" s="962">
        <f t="shared" ref="OS88" si="2534">+LARGE((OR74:OR80),4)</f>
        <v>15934533.404813053</v>
      </c>
      <c r="PF88" s="965" t="str">
        <f t="shared" ref="PF88" si="2535">+VLOOKUP(PG88,PF74:PG80,2,0)</f>
        <v>Transporte</v>
      </c>
      <c r="PG88" s="962">
        <f t="shared" ref="PG88" si="2536">+LARGE((PF74:PF80),4)</f>
        <v>2300514.4267758853</v>
      </c>
      <c r="PT88" s="965" t="str">
        <f t="shared" ref="PT88" si="2537">+VLOOKUP(PU88,PT74:PU80,2,0)</f>
        <v>Transporte</v>
      </c>
      <c r="PU88" s="962">
        <f t="shared" ref="PU88" si="2538">+LARGE((PT74:PT80),4)</f>
        <v>3675569.1424353146</v>
      </c>
      <c r="QH88" s="965" t="str">
        <f t="shared" ref="QH88" si="2539">+VLOOKUP(QI88,QH74:QI80,2,0)</f>
        <v>Transporte</v>
      </c>
      <c r="QI88" s="962">
        <f t="shared" ref="QI88" si="2540">+LARGE((QH74:QH80),4)</f>
        <v>1231027.4257074401</v>
      </c>
      <c r="QV88" s="965" t="str">
        <f t="shared" ref="QV88" si="2541">+VLOOKUP(QW88,QV74:QW80,2,0)</f>
        <v>Transporte</v>
      </c>
      <c r="QW88" s="962">
        <f t="shared" ref="QW88" si="2542">+LARGE((QV74:QV80),4)</f>
        <v>3064433.7132533463</v>
      </c>
      <c r="RJ88" s="965" t="str">
        <f t="shared" ref="RJ88" si="2543">+VLOOKUP(RK88,RJ74:RK80,2,0)</f>
        <v>Transporte</v>
      </c>
      <c r="RK88" s="962">
        <f t="shared" ref="RK88" si="2544">+LARGE((RJ74:RJ80),4)</f>
        <v>1438631.5238504603</v>
      </c>
      <c r="RX88" s="965" t="str">
        <f t="shared" ref="RX88" si="2545">+VLOOKUP(RY88,RX74:RY80,2,0)</f>
        <v>Transporte</v>
      </c>
      <c r="RY88" s="962">
        <f t="shared" ref="RY88" si="2546">+LARGE((RX74:RX80),4)</f>
        <v>1994946.7121849011</v>
      </c>
      <c r="SL88" s="965" t="str">
        <f t="shared" ref="SL88" si="2547">+VLOOKUP(SM88,SL74:SM80,2,0)</f>
        <v>Talento humano</v>
      </c>
      <c r="SM88" s="962">
        <f t="shared" ref="SM88" si="2548">+LARGE((SL74:SL80),4)</f>
        <v>0</v>
      </c>
      <c r="SZ88" s="965" t="str">
        <f t="shared" ref="SZ88" si="2549">+VLOOKUP(TA88,SZ74:TA80,2,0)</f>
        <v>Transporte</v>
      </c>
      <c r="TA88" s="962">
        <f t="shared" ref="TA88" si="2550">+LARGE((SZ74:SZ80),4)</f>
        <v>1372343048.0923336</v>
      </c>
      <c r="TG88" s="105"/>
      <c r="TK88" s="105"/>
    </row>
    <row r="89" spans="2:531" ht="15.75" customHeight="1">
      <c r="B89" s="965" t="str">
        <f>+VLOOKUP(C89,B74:C80,2,0)</f>
        <v xml:space="preserve">Impuestos </v>
      </c>
      <c r="C89" s="962">
        <f>+LARGE((B74:B80),5)</f>
        <v>27743188.933984373</v>
      </c>
      <c r="P89" s="965" t="str">
        <f t="shared" ref="P89" si="2551">+VLOOKUP(Q89,P74:Q80,2,0)</f>
        <v xml:space="preserve">Impuestos </v>
      </c>
      <c r="Q89" s="962">
        <f t="shared" ref="Q89" si="2552">+LARGE((P74:P80),5)</f>
        <v>6523116.7287634546</v>
      </c>
      <c r="AD89" s="965" t="str">
        <f t="shared" ref="AD89" si="2553">+VLOOKUP(AE89,AD74:AE80,2,0)</f>
        <v xml:space="preserve">Impuestos </v>
      </c>
      <c r="AE89" s="962">
        <f t="shared" ref="AE89" si="2554">+LARGE((AD74:AD80),5)</f>
        <v>34266305.662747823</v>
      </c>
      <c r="AR89" s="965" t="str">
        <f t="shared" ref="AR89" si="2555">+VLOOKUP(AS89,AR74:AS80,2,0)</f>
        <v xml:space="preserve">Impuestos </v>
      </c>
      <c r="AS89" s="962">
        <f t="shared" ref="AS89" si="2556">+LARGE((AR74:AR80),5)</f>
        <v>9893411.5593629591</v>
      </c>
      <c r="BF89" s="965" t="str">
        <f t="shared" ref="BF89" si="2557">+VLOOKUP(BG89,BF74:BG80,2,0)</f>
        <v xml:space="preserve">Impuestos </v>
      </c>
      <c r="BG89" s="962">
        <f t="shared" ref="BG89" si="2558">+LARGE((BF74:BF80),5)</f>
        <v>14193322.798143158</v>
      </c>
      <c r="BT89" s="965" t="str">
        <f t="shared" ref="BT89" si="2559">+VLOOKUP(BU89,BT74:BU80,2,0)</f>
        <v xml:space="preserve">Impuestos </v>
      </c>
      <c r="BU89" s="962">
        <f t="shared" ref="BU89" si="2560">+LARGE((BT74:BT80),5)</f>
        <v>12142643.675171709</v>
      </c>
      <c r="CH89" s="965" t="str">
        <f t="shared" ref="CH89" si="2561">+VLOOKUP(CI89,CH74:CI80,2,0)</f>
        <v xml:space="preserve">Impuestos </v>
      </c>
      <c r="CI89" s="962">
        <f t="shared" ref="CI89" si="2562">+LARGE((CH74:CH80),5)</f>
        <v>12137571.999180317</v>
      </c>
      <c r="CV89" s="965" t="str">
        <f t="shared" ref="CV89" si="2563">+VLOOKUP(CW89,CV74:CW80,2,0)</f>
        <v xml:space="preserve">Impuestos </v>
      </c>
      <c r="CW89" s="962">
        <f t="shared" ref="CW89" si="2564">+LARGE((CV74:CV80),5)</f>
        <v>6657456.5337451855</v>
      </c>
      <c r="DJ89" s="965" t="str">
        <f t="shared" ref="DJ89" si="2565">+VLOOKUP(DK89,DJ74:DK80,2,0)</f>
        <v xml:space="preserve">Impuestos </v>
      </c>
      <c r="DK89" s="962">
        <f t="shared" ref="DK89" si="2566">+LARGE((DJ74:DJ80),5)</f>
        <v>13534539.152088098</v>
      </c>
      <c r="DX89" s="965" t="str">
        <f t="shared" ref="DX89" si="2567">+VLOOKUP(DY89,DX74:DY80,2,0)</f>
        <v xml:space="preserve">Impuestos </v>
      </c>
      <c r="DY89" s="962">
        <f t="shared" ref="DY89" si="2568">+LARGE((DX74:DX80),5)</f>
        <v>9721415.1098117512</v>
      </c>
      <c r="EL89" s="965" t="str">
        <f t="shared" ref="EL89" si="2569">+VLOOKUP(EM89,EL74:EM80,2,0)</f>
        <v xml:space="preserve">Impuestos </v>
      </c>
      <c r="EM89" s="962">
        <f t="shared" ref="EM89" si="2570">+LARGE((EL74:EL80),5)</f>
        <v>13849329.899040738</v>
      </c>
      <c r="EZ89" s="965" t="str">
        <f t="shared" ref="EZ89" si="2571">+VLOOKUP(FA89,EZ74:FA80,2,0)</f>
        <v xml:space="preserve">Impuestos </v>
      </c>
      <c r="FA89" s="962">
        <f t="shared" ref="FA89" si="2572">+LARGE((EZ74:EZ80),5)</f>
        <v>14897850.095132422</v>
      </c>
      <c r="FN89" s="965" t="str">
        <f t="shared" ref="FN89" si="2573">+VLOOKUP(FO89,FN74:FO80,2,0)</f>
        <v xml:space="preserve">Impuestos </v>
      </c>
      <c r="FO89" s="962">
        <f t="shared" ref="FO89" si="2574">+LARGE((FN74:FN80),5)</f>
        <v>10839392.031894604</v>
      </c>
      <c r="GB89" s="965" t="str">
        <f t="shared" ref="GB89" si="2575">+VLOOKUP(GC89,GB74:GC80,2,0)</f>
        <v xml:space="preserve">Impuestos </v>
      </c>
      <c r="GC89" s="962">
        <f t="shared" ref="GC89" si="2576">+LARGE((GB74:GB80),5)</f>
        <v>8380211.7305531465</v>
      </c>
      <c r="GP89" s="965" t="str">
        <f t="shared" ref="GP89" si="2577">+VLOOKUP(GQ89,GP74:GQ80,2,0)</f>
        <v xml:space="preserve">Impuestos </v>
      </c>
      <c r="GQ89" s="962">
        <f t="shared" ref="GQ89" si="2578">+LARGE((GP74:GP80),5)</f>
        <v>5241796.0166902626</v>
      </c>
      <c r="HD89" s="965" t="str">
        <f t="shared" ref="HD89" si="2579">+VLOOKUP(HE89,HD74:HE80,2,0)</f>
        <v xml:space="preserve">Impuestos </v>
      </c>
      <c r="HE89" s="962">
        <f t="shared" ref="HE89" si="2580">+LARGE((HD74:HD80),5)</f>
        <v>16838672.137535103</v>
      </c>
      <c r="HR89" s="965" t="str">
        <f t="shared" ref="HR89" si="2581">+VLOOKUP(HS89,HR74:HS80,2,0)</f>
        <v xml:space="preserve">Impuestos </v>
      </c>
      <c r="HS89" s="962">
        <f t="shared" ref="HS89" si="2582">+LARGE((HR74:HR80),5)</f>
        <v>5914562.9199772254</v>
      </c>
      <c r="IF89" s="965" t="str">
        <f t="shared" ref="IF89" si="2583">+VLOOKUP(IG89,IF74:IG80,2,0)</f>
        <v xml:space="preserve">Impuestos </v>
      </c>
      <c r="IG89" s="962">
        <f t="shared" ref="IG89" si="2584">+LARGE((IF74:IF80),5)</f>
        <v>3978334.3504287293</v>
      </c>
      <c r="IT89" s="965" t="str">
        <f t="shared" ref="IT89" si="2585">+VLOOKUP(IU89,IT74:IU80,2,0)</f>
        <v xml:space="preserve">Impuestos </v>
      </c>
      <c r="IU89" s="962">
        <f t="shared" ref="IU89" si="2586">+LARGE((IT74:IT80),5)</f>
        <v>24738937.552585933</v>
      </c>
      <c r="JH89" s="965" t="str">
        <f t="shared" ref="JH89" si="2587">+VLOOKUP(JI89,JH74:JI80,2,0)</f>
        <v xml:space="preserve">Impuestos </v>
      </c>
      <c r="JI89" s="962">
        <f t="shared" ref="JI89" si="2588">+LARGE((JH74:JH80),5)</f>
        <v>28717271.90301466</v>
      </c>
      <c r="JV89" s="965" t="str">
        <f t="shared" ref="JV89" si="2589">+VLOOKUP(JW89,JV74:JW80,2,0)</f>
        <v xml:space="preserve">Impuestos </v>
      </c>
      <c r="JW89" s="962">
        <f t="shared" ref="JW89" si="2590">+LARGE((JV74:JV80),5)</f>
        <v>8335128.4350415468</v>
      </c>
      <c r="KJ89" s="965" t="str">
        <f t="shared" ref="KJ89" si="2591">+VLOOKUP(KK89,KJ74:KK80,2,0)</f>
        <v xml:space="preserve">Impuestos </v>
      </c>
      <c r="KK89" s="962">
        <f t="shared" ref="KK89" si="2592">+LARGE((KJ74:KJ80),5)</f>
        <v>5012108.37580531</v>
      </c>
      <c r="KX89" s="965" t="str">
        <f t="shared" ref="KX89" si="2593">+VLOOKUP(KY89,KX74:KY80,2,0)</f>
        <v xml:space="preserve">Impuestos </v>
      </c>
      <c r="KY89" s="962">
        <f t="shared" ref="KY89" si="2594">+LARGE((KX74:KX80),5)</f>
        <v>4077208.3439647402</v>
      </c>
      <c r="LL89" s="965" t="str">
        <f t="shared" ref="LL89" si="2595">+VLOOKUP(LM89,LL74:LM80,2,0)</f>
        <v xml:space="preserve">Impuestos </v>
      </c>
      <c r="LM89" s="962">
        <f t="shared" ref="LM89" si="2596">+LARGE((LL74:LL80),5)</f>
        <v>10667395.582343396</v>
      </c>
      <c r="LZ89" s="965" t="str">
        <f t="shared" ref="LZ89" si="2597">+VLOOKUP(MA89,LZ74:MA80,2,0)</f>
        <v xml:space="preserve">Impuestos </v>
      </c>
      <c r="MA89" s="962">
        <f t="shared" ref="MA89" si="2598">+LARGE((LZ74:LZ80),5)</f>
        <v>10581397.357567791</v>
      </c>
      <c r="MN89" s="965" t="str">
        <f t="shared" ref="MN89" si="2599">+VLOOKUP(MO89,MN74:MO80,2,0)</f>
        <v xml:space="preserve">Impuestos </v>
      </c>
      <c r="MO89" s="962">
        <f t="shared" ref="MO89" si="2600">+LARGE((MN74:MN80),5)</f>
        <v>10827651.912597179</v>
      </c>
      <c r="NB89" s="965" t="str">
        <f t="shared" ref="NB89" si="2601">+VLOOKUP(NC89,NB74:NC80,2,0)</f>
        <v xml:space="preserve">Impuestos </v>
      </c>
      <c r="NC89" s="962">
        <f t="shared" ref="NC89" si="2602">+LARGE((NB74:NB80),5)</f>
        <v>20721956.328547895</v>
      </c>
      <c r="NP89" s="965" t="str">
        <f t="shared" ref="NP89" si="2603">+VLOOKUP(NQ89,NP74:NQ80,2,0)</f>
        <v xml:space="preserve">Impuestos </v>
      </c>
      <c r="NQ89" s="962">
        <f t="shared" ref="NQ89" si="2604">+LARGE((NP74:NP80),5)</f>
        <v>3298695.2056858419</v>
      </c>
      <c r="OD89" s="965" t="str">
        <f t="shared" ref="OD89" si="2605">+VLOOKUP(OE89,OD74:OE80,2,0)</f>
        <v xml:space="preserve">Impuestos </v>
      </c>
      <c r="OE89" s="962">
        <f t="shared" ref="OE89" si="2606">+LARGE((OD74:OD80),5)</f>
        <v>4299125.2814631555</v>
      </c>
      <c r="OR89" s="965" t="str">
        <f t="shared" ref="OR89" si="2607">+VLOOKUP(OS89,OR74:OS80,2,0)</f>
        <v xml:space="preserve">Impuestos </v>
      </c>
      <c r="OS89" s="962">
        <f t="shared" ref="OS89" si="2608">+LARGE((OR74:OR80),5)</f>
        <v>5431452.9030580595</v>
      </c>
      <c r="PF89" s="965" t="str">
        <f t="shared" ref="PF89" si="2609">+VLOOKUP(PG89,PF74:PG80,2,0)</f>
        <v xml:space="preserve">Impuestos </v>
      </c>
      <c r="PG89" s="962">
        <f t="shared" ref="PG89" si="2610">+LARGE((PF74:PF80),5)</f>
        <v>1381196.9022940919</v>
      </c>
      <c r="PT89" s="965" t="str">
        <f t="shared" ref="PT89" si="2611">+VLOOKUP(PU89,PT74:PU80,2,0)</f>
        <v xml:space="preserve">Impuestos </v>
      </c>
      <c r="PU89" s="962">
        <f t="shared" ref="PU89" si="2612">+LARGE((PT74:PT80),5)</f>
        <v>2131522.325360429</v>
      </c>
      <c r="QH89" s="965" t="str">
        <f t="shared" ref="QH89" si="2613">+VLOOKUP(QI89,QH74:QI80,2,0)</f>
        <v xml:space="preserve">Impuestos </v>
      </c>
      <c r="QI89" s="962">
        <f t="shared" ref="QI89" si="2614">+LARGE((QH74:QH80),5)</f>
        <v>797610.46213138569</v>
      </c>
      <c r="QV89" s="965" t="str">
        <f t="shared" ref="QV89" si="2615">+VLOOKUP(QW89,QV74:QW80,2,0)</f>
        <v xml:space="preserve">Impuestos </v>
      </c>
      <c r="QW89" s="962">
        <f t="shared" ref="QW89" si="2616">+LARGE((QV74:QV80),5)</f>
        <v>1798044.3595531681</v>
      </c>
      <c r="RJ89" s="965" t="str">
        <f t="shared" ref="RJ89" si="2617">+VLOOKUP(RK89,RJ74:RK80,2,0)</f>
        <v xml:space="preserve">Impuestos </v>
      </c>
      <c r="RK89" s="962">
        <f t="shared" ref="RK89" si="2618">+LARGE((RJ74:RJ80),5)</f>
        <v>799753.29142722941</v>
      </c>
      <c r="RX89" s="965" t="str">
        <f t="shared" ref="RX89" si="2619">+VLOOKUP(RY89,RX74:RY80,2,0)</f>
        <v xml:space="preserve">Impuestos </v>
      </c>
      <c r="RY89" s="962">
        <f t="shared" ref="RY89" si="2620">+LARGE((RX74:RX80),5)</f>
        <v>1214457.9193904616</v>
      </c>
      <c r="SL89" s="965" t="str">
        <f t="shared" ref="SL89" si="2621">+VLOOKUP(SM89,SL74:SM80,2,0)</f>
        <v>Talento humano</v>
      </c>
      <c r="SM89" s="962">
        <f t="shared" ref="SM89" si="2622">+LARGE((SL74:SL80),5)</f>
        <v>0</v>
      </c>
      <c r="SZ89" s="965" t="str">
        <f t="shared" ref="SZ89" si="2623">+VLOOKUP(TA89,SZ74:TA80,2,0)</f>
        <v xml:space="preserve">Impuestos </v>
      </c>
      <c r="TA89" s="962">
        <f t="shared" ref="TA89" si="2624">+LARGE((SZ74:SZ80),5)</f>
        <v>308600458.21032083</v>
      </c>
      <c r="TG89" s="105"/>
      <c r="TK89" s="105"/>
    </row>
    <row r="90" spans="2:531" ht="15.75" customHeight="1">
      <c r="B90" s="965" t="str">
        <f>+VLOOKUP(C90,B74:C80,2,0)</f>
        <v>GMF</v>
      </c>
      <c r="C90" s="962">
        <f>+LARGE((B74:B80),6)</f>
        <v>11630152.524663435</v>
      </c>
      <c r="P90" s="965" t="str">
        <f>+VLOOKUP(Q90,P74:Q80,2,0)</f>
        <v>GMF</v>
      </c>
      <c r="Q90" s="962">
        <f t="shared" ref="Q90" si="2625">+LARGE((P74:P80),6)</f>
        <v>2734539.3736900585</v>
      </c>
      <c r="AD90" s="965" t="str">
        <f>+VLOOKUP(AE90,AD74:AE80,2,0)</f>
        <v>GMF</v>
      </c>
      <c r="AE90" s="962">
        <f t="shared" ref="AE90" si="2626">+LARGE((AD74:AD80),6)</f>
        <v>14364691.898353491</v>
      </c>
      <c r="AR90" s="965" t="str">
        <f>+VLOOKUP(AS90,AR74:AS80,2,0)</f>
        <v>GMF</v>
      </c>
      <c r="AS90" s="962">
        <f t="shared" ref="AS90" si="2627">+LARGE((AR74:AR80),6)</f>
        <v>4147392.2013238003</v>
      </c>
      <c r="BF90" s="965" t="str">
        <f>+VLOOKUP(BG90,BF74:BG80,2,0)</f>
        <v>GMF</v>
      </c>
      <c r="BG90" s="962">
        <f t="shared" ref="BG90" si="2628">+LARGE((BF74:BF80),6)</f>
        <v>5949947.1876494531</v>
      </c>
      <c r="BT90" s="965" t="str">
        <f t="shared" ref="BT90" si="2629">+VLOOKUP(BU90,BT74:BU80,2,0)</f>
        <v>GMF</v>
      </c>
      <c r="BU90" s="962">
        <f t="shared" ref="BU90" si="2630">+LARGE((BT74:BT80),6)</f>
        <v>5090287.1451052446</v>
      </c>
      <c r="CH90" s="965" t="str">
        <f t="shared" ref="CH90" si="2631">+VLOOKUP(CI90,CH74:CI80,2,0)</f>
        <v>GMF</v>
      </c>
      <c r="CI90" s="962">
        <f t="shared" ref="CI90" si="2632">+LARGE((CH74:CH80),6)</f>
        <v>5088161.0605561361</v>
      </c>
      <c r="CV90" s="965" t="str">
        <f t="shared" ref="CV90" si="2633">+VLOOKUP(CW90,CV74:CW80,2,0)</f>
        <v>GMF</v>
      </c>
      <c r="CW90" s="962">
        <f t="shared" ref="CW90" si="2634">+LARGE((CV74:CV80),6)</f>
        <v>2790855.6257903059</v>
      </c>
      <c r="DJ90" s="965" t="str">
        <f t="shared" ref="DJ90" si="2635">+VLOOKUP(DK90,DJ74:DK80,2,0)</f>
        <v>GMF</v>
      </c>
      <c r="DK90" s="962">
        <f t="shared" ref="DK90" si="2636">+LARGE((DJ74:DJ80),6)</f>
        <v>5673780.150665869</v>
      </c>
      <c r="DX90" s="965" t="str">
        <f t="shared" ref="DX90" si="2637">+VLOOKUP(DY90,DX74:DY80,2,0)</f>
        <v>GMF</v>
      </c>
      <c r="DY90" s="962">
        <f t="shared" ref="DY90" si="2638">+LARGE((DX74:DX80),6)</f>
        <v>4075290.0018707737</v>
      </c>
      <c r="EL90" s="965" t="str">
        <f t="shared" ref="EL90" si="2639">+VLOOKUP(EM90,EL74:EM80,2,0)</f>
        <v>GMF</v>
      </c>
      <c r="EM90" s="962">
        <f t="shared" ref="EM90" si="2640">+LARGE((EL74:EL80),6)</f>
        <v>5805742.7887433991</v>
      </c>
      <c r="EZ90" s="965" t="str">
        <f t="shared" ref="EZ90" si="2641">+VLOOKUP(FA90,EZ74:FA80,2,0)</f>
        <v>GMF</v>
      </c>
      <c r="FA90" s="962">
        <f t="shared" ref="FA90" si="2642">+LARGE((EZ74:EZ80),6)</f>
        <v>6245290.3056043228</v>
      </c>
      <c r="FN90" s="965" t="str">
        <f t="shared" ref="FN90" si="2643">+VLOOKUP(FO90,FN74:FO80,2,0)</f>
        <v>GMF</v>
      </c>
      <c r="FO90" s="962">
        <f t="shared" ref="FO90" si="2644">+LARGE((FN74:FN80),6)</f>
        <v>4543954.298315444</v>
      </c>
      <c r="GB90" s="965" t="str">
        <f t="shared" ref="GB90" si="2645">+VLOOKUP(GC90,GB74:GC80,2,0)</f>
        <v>GMF</v>
      </c>
      <c r="GC90" s="962">
        <f t="shared" ref="GC90" si="2646">+LARGE((GB74:GB80),6)</f>
        <v>3513047.5031988155</v>
      </c>
      <c r="GP90" s="965" t="str">
        <f t="shared" ref="GP90" si="2647">+VLOOKUP(GQ90,GP74:GQ80,2,0)</f>
        <v>GMF</v>
      </c>
      <c r="GQ90" s="962">
        <f t="shared" ref="GQ90" si="2648">+LARGE((GP74:GP80),6)</f>
        <v>2197400.1374659468</v>
      </c>
      <c r="HD90" s="965" t="str">
        <f t="shared" ref="HD90" si="2649">+VLOOKUP(HE90,HD74:HE80,2,0)</f>
        <v>GMF</v>
      </c>
      <c r="HE90" s="962">
        <f t="shared" ref="HE90" si="2650">+LARGE((HD74:HD80),6)</f>
        <v>7058897.4374334281</v>
      </c>
      <c r="HR90" s="965" t="str">
        <f t="shared" ref="HR90" si="2651">+VLOOKUP(HS90,HR74:HS80,2,0)</f>
        <v>GMF</v>
      </c>
      <c r="HS90" s="962">
        <f t="shared" ref="HS90" si="2652">+LARGE((HR74:HR80),6)</f>
        <v>2479429.060578974</v>
      </c>
      <c r="IF90" s="965" t="str">
        <f t="shared" ref="IF90" si="2653">+VLOOKUP(IG90,IF74:IG80,2,0)</f>
        <v>GMF</v>
      </c>
      <c r="IG90" s="962">
        <f t="shared" ref="IG90" si="2654">+LARGE((IF74:IF80),6)</f>
        <v>1667747.5469633772</v>
      </c>
      <c r="IT90" s="965" t="str">
        <f t="shared" ref="IT90" si="2655">+VLOOKUP(IU90,IT74:IU80,2,0)</f>
        <v>GMF</v>
      </c>
      <c r="IU90" s="962">
        <f t="shared" ref="IU90" si="2656">+LARGE((IT74:IT80),6)</f>
        <v>10370747.851637742</v>
      </c>
      <c r="JH90" s="965" t="str">
        <f>+VLOOKUP(JI90,JH74:JI80,2,0)</f>
        <v>GMF</v>
      </c>
      <c r="JI90" s="962">
        <f t="shared" ref="JI90" si="2657">+LARGE((JH74:JH80),6)</f>
        <v>12038495.398601117</v>
      </c>
      <c r="JV90" s="965" t="str">
        <f t="shared" ref="JV90" si="2658">+VLOOKUP(JW90,JV74:JW80,2,0)</f>
        <v>GMF</v>
      </c>
      <c r="JW90" s="962">
        <f t="shared" ref="JW90" si="2659">+LARGE((JV74:JV80),6)</f>
        <v>3494148.2481650114</v>
      </c>
      <c r="KJ90" s="965" t="str">
        <f t="shared" ref="KJ90" si="2660">+VLOOKUP(KK90,KJ74:KK80,2,0)</f>
        <v>GMF</v>
      </c>
      <c r="KK90" s="962">
        <f t="shared" ref="KK90" si="2661">+LARGE((KJ74:KJ80),6)</f>
        <v>2101113.3586504851</v>
      </c>
      <c r="KX90" s="965" t="str">
        <f t="shared" ref="KX90" si="2662">+VLOOKUP(KY90,KX74:KY80,2,0)</f>
        <v>GMF</v>
      </c>
      <c r="KY90" s="962">
        <f t="shared" ref="KY90" si="2663">+LARGE((KX74:KX80),6)</f>
        <v>1709196.2653599055</v>
      </c>
      <c r="LL90" s="965" t="str">
        <f t="shared" ref="LL90" si="2664">+VLOOKUP(LM90,LL74:LM80,2,0)</f>
        <v>GMF</v>
      </c>
      <c r="LM90" s="962">
        <f t="shared" ref="LM90" si="2665">+LARGE((LL74:LL80),6)</f>
        <v>4471852.098862417</v>
      </c>
      <c r="LZ90" s="965" t="str">
        <f t="shared" ref="LZ90" si="2666">+VLOOKUP(MA90,LZ74:MA80,2,0)</f>
        <v>GMF</v>
      </c>
      <c r="MA90" s="962">
        <f t="shared" ref="MA90" si="2667">+LARGE((LZ74:LZ80),6)</f>
        <v>4435800.999135904</v>
      </c>
      <c r="MN90" s="965" t="str">
        <f t="shared" ref="MN90" si="2668">+VLOOKUP(MO90,MN74:MO80,2,0)</f>
        <v>GMF</v>
      </c>
      <c r="MO90" s="962">
        <f t="shared" ref="MO90" si="2669">+LARGE((MN74:MN80),6)</f>
        <v>4539032.7524033394</v>
      </c>
      <c r="NB90" s="965" t="str">
        <f t="shared" ref="NB90" si="2670">+VLOOKUP(NC90,NB74:NC80,2,0)</f>
        <v>GMF</v>
      </c>
      <c r="NC90" s="962">
        <f t="shared" ref="NC90" si="2671">+LARGE((NB74:NB80),6)</f>
        <v>8686799.2458938733</v>
      </c>
      <c r="NP90" s="965" t="str">
        <f t="shared" ref="NP90" si="2672">+VLOOKUP(NQ90,NP74:NQ80,2,0)</f>
        <v>GMF</v>
      </c>
      <c r="NQ90" s="962">
        <f t="shared" ref="NQ90" si="2673">+LARGE((NP74:NP80),6)</f>
        <v>1382837.7287770079</v>
      </c>
      <c r="OD90" s="965" t="str">
        <f t="shared" ref="OD90" si="2674">+VLOOKUP(OE90,OD74:OE80,2,0)</f>
        <v>GMF</v>
      </c>
      <c r="OE90" s="962">
        <f t="shared" ref="OE90" si="2675">+LARGE((OD74:OD80),6)</f>
        <v>1802225.5071335947</v>
      </c>
      <c r="OR90" s="965" t="str">
        <f t="shared" ref="OR90" si="2676">+VLOOKUP(OS90,OR74:OS80,2,0)</f>
        <v>GMF</v>
      </c>
      <c r="OS90" s="962">
        <f t="shared" ref="OS90" si="2677">+LARGE((OR74:OR80),6)</f>
        <v>2276905.7242627228</v>
      </c>
      <c r="PF90" s="965" t="str">
        <f t="shared" ref="PF90" si="2678">+VLOOKUP(PG90,PF74:PG80,2,0)</f>
        <v>GMF</v>
      </c>
      <c r="PG90" s="962">
        <f t="shared" ref="PG90" si="2679">+LARGE((PF74:PF80),6)</f>
        <v>579008.08297476301</v>
      </c>
      <c r="PT90" s="965" t="str">
        <f t="shared" ref="PT90" si="2680">+VLOOKUP(PU90,PT74:PU80,2,0)</f>
        <v>GMF</v>
      </c>
      <c r="PU90" s="962">
        <f t="shared" ref="PU90" si="2681">+LARGE((PT74:PT80),6)</f>
        <v>893550.11828868475</v>
      </c>
      <c r="QH90" s="965" t="str">
        <f t="shared" ref="QH90" si="2682">+VLOOKUP(QI90,QH74:QI80,2,0)</f>
        <v>GMF</v>
      </c>
      <c r="QI90" s="962">
        <f t="shared" ref="QI90" si="2683">+LARGE((QH74:QH80),6)</f>
        <v>334364.27773060161</v>
      </c>
      <c r="QV90" s="965" t="str">
        <f t="shared" ref="QV90" si="2684">+VLOOKUP(QW90,QV74:QW80,2,0)</f>
        <v>GMF</v>
      </c>
      <c r="QW90" s="962">
        <f t="shared" ref="QW90" si="2685">+LARGE((QV74:QV80),6)</f>
        <v>753753.65814916394</v>
      </c>
      <c r="RJ90" s="965" t="str">
        <f t="shared" ref="RJ90" si="2686">+VLOOKUP(RK90,RJ74:RK80,2,0)</f>
        <v>GMF</v>
      </c>
      <c r="RK90" s="962">
        <f t="shared" ref="RK90" si="2687">+LARGE((RJ74:RJ80),6)</f>
        <v>335262.56781557639</v>
      </c>
      <c r="RX90" s="965" t="str">
        <f t="shared" ref="RX90" si="2688">+VLOOKUP(RY90,RX74:RY80,2,0)</f>
        <v>GMF</v>
      </c>
      <c r="RY90" s="962">
        <f t="shared" ref="RY90" si="2689">+LARGE((RX74:RX80),6)</f>
        <v>509109.8529050026</v>
      </c>
      <c r="SL90" s="965" t="str">
        <f t="shared" ref="SL90" si="2690">+VLOOKUP(SM90,SL74:SM80,2,0)</f>
        <v>Talento humano</v>
      </c>
      <c r="SM90" s="962">
        <f t="shared" ref="SM90" si="2691">+LARGE((SL74:SL80),6)</f>
        <v>0</v>
      </c>
      <c r="SZ90" s="965" t="str">
        <f t="shared" ref="SZ90" si="2692">+VLOOKUP(TA90,SZ74:TA80,2,0)</f>
        <v>GMF</v>
      </c>
      <c r="TA90" s="962">
        <f t="shared" ref="TA90" si="2693">+LARGE((SZ74:SZ80),6)</f>
        <v>129367622.68776457</v>
      </c>
      <c r="TG90" s="105"/>
      <c r="TK90" s="105"/>
    </row>
    <row r="91" spans="2:531" ht="15.75" customHeight="1" thickBot="1">
      <c r="B91" s="966" t="str">
        <f>+VLOOKUP(C91,B74:C80,2,0)</f>
        <v>Polizas</v>
      </c>
      <c r="C91" s="963">
        <f>+LARGE((B74:B80),7)</f>
        <v>7829214.0761422347</v>
      </c>
      <c r="P91" s="966" t="str">
        <f t="shared" ref="P91" si="2694">+VLOOKUP(Q91,P74:Q80,2,0)</f>
        <v>Polizas</v>
      </c>
      <c r="Q91" s="963">
        <f t="shared" ref="Q91" si="2695">+LARGE((P74:P80),7)</f>
        <v>1840843.7989835336</v>
      </c>
      <c r="AD91" s="966" t="str">
        <f t="shared" ref="AD91" si="2696">+VLOOKUP(AE91,AD74:AE80,2,0)</f>
        <v>Polizas</v>
      </c>
      <c r="AE91" s="963">
        <f t="shared" ref="AE91" si="2697">+LARGE((AD74:AD80),7)</f>
        <v>9670057.8751257695</v>
      </c>
      <c r="AR91" s="966" t="str">
        <f t="shared" ref="AR91" si="2698">+VLOOKUP(AS91,AR74:AS80,2,0)</f>
        <v>Polizas</v>
      </c>
      <c r="AS91" s="963">
        <f t="shared" ref="AS91" si="2699">+LARGE((AR74:AR80),7)</f>
        <v>2791951.4669328467</v>
      </c>
      <c r="BF91" s="966" t="str">
        <f t="shared" ref="BF91" si="2700">+VLOOKUP(BG91,BF74:BG80,2,0)</f>
        <v>Polizas</v>
      </c>
      <c r="BG91" s="963">
        <f t="shared" ref="BG91" si="2701">+LARGE((BF74:BF80),7)</f>
        <v>4005399.7722782297</v>
      </c>
      <c r="BT91" s="966" t="str">
        <f t="shared" ref="BT91" si="2702">+VLOOKUP(BU91,BT74:BU80,2,0)</f>
        <v>Polizas</v>
      </c>
      <c r="BU91" s="963">
        <f t="shared" ref="BU91" si="2703">+LARGE((BT74:BT80),7)</f>
        <v>3426691.7552069807</v>
      </c>
      <c r="CH91" s="966" t="str">
        <f t="shared" ref="CH91" si="2704">+VLOOKUP(CI91,CH74:CI80,2,0)</f>
        <v>Polizas</v>
      </c>
      <c r="CI91" s="963">
        <f t="shared" ref="CI91" si="2705">+LARGE((CH74:CH80),7)</f>
        <v>3425260.5124916639</v>
      </c>
      <c r="CV91" s="966" t="str">
        <f t="shared" ref="CV91" si="2706">+VLOOKUP(CW91,CV74:CW80,2,0)</f>
        <v>Polizas</v>
      </c>
      <c r="CW91" s="963">
        <f t="shared" ref="CW91" si="2707">+LARGE((CV74:CV80),7)</f>
        <v>1878754.9091537416</v>
      </c>
      <c r="DJ91" s="966" t="str">
        <f t="shared" ref="DJ91" si="2708">+VLOOKUP(DK91,DJ74:DK80,2,0)</f>
        <v>Polizas</v>
      </c>
      <c r="DK91" s="963">
        <f t="shared" ref="DK91" si="2709">+LARGE((DJ74:DJ80),7)</f>
        <v>3819488.9814495477</v>
      </c>
      <c r="DX91" s="966" t="str">
        <f t="shared" ref="DX91" si="2710">+VLOOKUP(DY91,DX74:DY80,2,0)</f>
        <v>Polizas</v>
      </c>
      <c r="DY91" s="963">
        <f t="shared" ref="DY91" si="2711">+LARGE((DX74:DX80),7)</f>
        <v>2743413.5347190313</v>
      </c>
      <c r="EL91" s="966" t="str">
        <f t="shared" ref="EL91" si="2712">+VLOOKUP(EM91,EL74:EM80,2,0)</f>
        <v>Polizas</v>
      </c>
      <c r="EM91" s="963">
        <f t="shared" ref="EM91" si="2713">+LARGE((EL74:EL80),7)</f>
        <v>3908323.907850598</v>
      </c>
      <c r="EZ91" s="966" t="str">
        <f t="shared" ref="EZ91" si="2714">+VLOOKUP(FA91,EZ74:FA80,2,0)</f>
        <v>Polizas</v>
      </c>
      <c r="FA91" s="963">
        <f t="shared" ref="FA91" si="2715">+LARGE((EZ74:EZ80),7)</f>
        <v>4204219.5634615729</v>
      </c>
      <c r="FN91" s="966" t="str">
        <f t="shared" ref="FN91" si="2716">+VLOOKUP(FO91,FN74:FO80,2,0)</f>
        <v>Polizas</v>
      </c>
      <c r="FO91" s="963">
        <f t="shared" ref="FO91" si="2717">+LARGE((FN74:FN80),7)</f>
        <v>3058910.0941088311</v>
      </c>
      <c r="GB91" s="966" t="str">
        <f t="shared" ref="GB91" si="2718">+VLOOKUP(GC91,GB74:GC80,2,0)</f>
        <v>Polizas</v>
      </c>
      <c r="GC91" s="963">
        <f t="shared" ref="GC91" si="2719">+LARGE((GB74:GB80),7)</f>
        <v>2364921.7758643669</v>
      </c>
      <c r="GP91" s="966" t="str">
        <f t="shared" ref="GP91" si="2720">+VLOOKUP(GQ91,GP74:GQ80,2,0)</f>
        <v>Polizas</v>
      </c>
      <c r="GQ91" s="963">
        <f t="shared" ref="GQ91" si="2721">+LARGE((GP74:GP80),7)</f>
        <v>1479251.1147796093</v>
      </c>
      <c r="HD91" s="966" t="str">
        <f t="shared" ref="HD91" si="2722">+VLOOKUP(HE91,HD74:HE80,2,0)</f>
        <v>Polizas</v>
      </c>
      <c r="HE91" s="963">
        <f t="shared" ref="HE91" si="2723">+LARGE((HD74:HD80),7)</f>
        <v>4751925.5712252557</v>
      </c>
      <c r="HR91" s="966" t="str">
        <f t="shared" ref="HR91" si="2724">+VLOOKUP(HS91,HR74:HS80,2,0)</f>
        <v>Polizas</v>
      </c>
      <c r="HS91" s="963">
        <f t="shared" ref="HS91" si="2725">+LARGE((HR74:HR80),7)</f>
        <v>1669108.0242253989</v>
      </c>
      <c r="IF91" s="966" t="str">
        <f t="shared" ref="IF91" si="2726">+VLOOKUP(IG91,IF74:IG80,2,0)</f>
        <v>Polizas</v>
      </c>
      <c r="IG91" s="963">
        <f t="shared" ref="IG91" si="2727">+LARGE((IF74:IF80),7)</f>
        <v>1122698.30876661</v>
      </c>
      <c r="IT91" s="966" t="str">
        <f t="shared" ref="IT91" si="2728">+VLOOKUP(IU91,IT74:IU80,2,0)</f>
        <v>Polizas</v>
      </c>
      <c r="IU91" s="963">
        <f t="shared" ref="IU91" si="2729">+LARGE((IT74:IT80),7)</f>
        <v>6981405.0063383607</v>
      </c>
      <c r="JH91" s="966" t="str">
        <f t="shared" ref="JH91" si="2730">+VLOOKUP(JI91,JH74:JI80,2,0)</f>
        <v>Polizas</v>
      </c>
      <c r="JI91" s="963">
        <f t="shared" ref="JI91" si="2731">+LARGE((JH74:JH80),7)</f>
        <v>8104103.3151049707</v>
      </c>
      <c r="JV91" s="966" t="str">
        <f t="shared" ref="JV91" si="2732">+VLOOKUP(JW91,JV74:JW80,2,0)</f>
        <v>Polizas</v>
      </c>
      <c r="JW91" s="963">
        <f t="shared" ref="JW91" si="2733">+LARGE((JV74:JV80),7)</f>
        <v>2352199.1298607588</v>
      </c>
      <c r="KJ91" s="966" t="str">
        <f t="shared" ref="KJ91" si="2734">+VLOOKUP(KK91,KJ74:KK80,2,0)</f>
        <v>Polizas</v>
      </c>
      <c r="KK91" s="963">
        <f t="shared" ref="KK91" si="2735">+LARGE((KJ74:KJ80),7)</f>
        <v>1414432.5492062205</v>
      </c>
      <c r="KX91" s="966" t="str">
        <f t="shared" ref="KX91" si="2736">+VLOOKUP(KY91,KX74:KY80,2,0)</f>
        <v>Polizas</v>
      </c>
      <c r="KY91" s="963">
        <f t="shared" ref="KY91" si="2737">+LARGE((KX74:KX80),7)</f>
        <v>1150600.8568045641</v>
      </c>
      <c r="LL91" s="966" t="str">
        <f t="shared" ref="LL91" si="2738">+VLOOKUP(LM91,LL74:LM80,2,0)</f>
        <v>Polizas</v>
      </c>
      <c r="LM91" s="963">
        <f t="shared" ref="LM91" si="2739">+LARGE((LL74:LL80),7)</f>
        <v>3010372.1618950153</v>
      </c>
      <c r="LZ91" s="966" t="str">
        <f t="shared" ref="LZ91" si="2740">+VLOOKUP(MA91,LZ74:MA80,2,0)</f>
        <v>Polizas</v>
      </c>
      <c r="MA91" s="963">
        <f t="shared" ref="MA91" si="2741">+LARGE((LZ74:LZ80),7)</f>
        <v>2986103.1957881073</v>
      </c>
      <c r="MN91" s="966" t="str">
        <f t="shared" ref="MN91" si="2742">+VLOOKUP(MO91,MN74:MO80,2,0)</f>
        <v>Polizas</v>
      </c>
      <c r="MO91" s="963">
        <f t="shared" ref="MO91" si="2743">+LARGE((MN74:MN80),7)</f>
        <v>3055596.9959831</v>
      </c>
      <c r="NB91" s="966" t="str">
        <f t="shared" ref="NB91" si="2744">+VLOOKUP(NC91,NB74:NC80,2,0)</f>
        <v>Polizas</v>
      </c>
      <c r="NC91" s="963">
        <f t="shared" ref="NC91" si="2745">+LARGE((NB74:NB80),7)</f>
        <v>5847800.4298178572</v>
      </c>
      <c r="NP91" s="966" t="str">
        <f t="shared" ref="NP91" si="2746">+VLOOKUP(NQ91,NP74:NQ80,2,0)</f>
        <v>Polizas</v>
      </c>
      <c r="NQ91" s="963">
        <f t="shared" ref="NQ91" si="2747">+LARGE((NP74:NP80),7)</f>
        <v>930902.03143959353</v>
      </c>
      <c r="OD91" s="966" t="str">
        <f t="shared" ref="OD91" si="2748">+VLOOKUP(OE91,OD74:OE80,2,0)</f>
        <v>Polizas</v>
      </c>
      <c r="OE91" s="963">
        <f t="shared" ref="OE91" si="2749">+LARGE((OD74:OD80),7)</f>
        <v>1213226.5057496529</v>
      </c>
      <c r="OR91" s="966" t="str">
        <f t="shared" ref="OR91" si="2750">+VLOOKUP(OS91,OR74:OS80,2,0)</f>
        <v>Polizas</v>
      </c>
      <c r="OS91" s="963">
        <f t="shared" ref="OS91" si="2751">+LARGE((OR74:OR80),7)</f>
        <v>1532772.877109143</v>
      </c>
      <c r="PF91" s="966" t="str">
        <f t="shared" ref="PF91" si="2752">+VLOOKUP(PG91,PF74:PG80,2,0)</f>
        <v>Polizas</v>
      </c>
      <c r="PG91" s="963">
        <f t="shared" ref="PG91" si="2753">+LARGE((PF74:PF80),7)</f>
        <v>389778.0552587664</v>
      </c>
      <c r="PT91" s="966" t="str">
        <f t="shared" ref="PT91" si="2754">+VLOOKUP(PU91,PT74:PU80,2,0)</f>
        <v>Polizas</v>
      </c>
      <c r="PU91" s="963">
        <f t="shared" ref="PU91" si="2755">+LARGE((PT74:PT80),7)</f>
        <v>601522.21985126392</v>
      </c>
      <c r="QH91" s="966" t="str">
        <f t="shared" ref="QH91" si="2756">+VLOOKUP(QI91,QH74:QI80,2,0)</f>
        <v>Polizas</v>
      </c>
      <c r="QI91" s="963">
        <f t="shared" ref="QI91" si="2757">+LARGE((QH74:QH80),7)</f>
        <v>225088.14946460171</v>
      </c>
      <c r="QV91" s="966" t="str">
        <f t="shared" ref="QV91" si="2758">+VLOOKUP(QW91,QV74:QW80,2,0)</f>
        <v>Polizas</v>
      </c>
      <c r="QW91" s="963">
        <f t="shared" ref="QW91" si="2759">+LARGE((QV74:QV80),7)</f>
        <v>507413.70225459832</v>
      </c>
      <c r="RJ91" s="966" t="str">
        <f t="shared" ref="RJ91" si="2760">+VLOOKUP(RK91,RJ74:RK80,2,0)</f>
        <v>Polizas</v>
      </c>
      <c r="RK91" s="963">
        <f t="shared" ref="RK91" si="2761">+LARGE((RJ74:RJ80),7)</f>
        <v>225692.86254663815</v>
      </c>
      <c r="RX91" s="966" t="str">
        <f t="shared" ref="RX91" si="2762">+VLOOKUP(RY91,RX74:RY80,2,0)</f>
        <v>Polizas</v>
      </c>
      <c r="RY91" s="963">
        <f t="shared" ref="RY91" si="2763">+LARGE((RX74:RX80),7)</f>
        <v>342723.79646043363</v>
      </c>
      <c r="SL91" s="966" t="str">
        <f t="shared" ref="SL91" si="2764">+VLOOKUP(SM91,SL74:SM80,2,0)</f>
        <v>Talento humano</v>
      </c>
      <c r="SM91" s="963">
        <f t="shared" ref="SM91" si="2765">+LARGE((SL74:SL80),7)</f>
        <v>0</v>
      </c>
      <c r="SZ91" s="966" t="str">
        <f t="shared" ref="SZ91" si="2766">+VLOOKUP(TA91,SZ74:TA80,2,0)</f>
        <v>Polizas</v>
      </c>
      <c r="TA91" s="963">
        <f t="shared" ref="TA91" si="2767">+LARGE((SZ74:SZ80),7)</f>
        <v>87088007.69346872</v>
      </c>
      <c r="TG91" s="105"/>
      <c r="TK91" s="105"/>
    </row>
    <row r="92" spans="2:531" ht="15.75" customHeight="1" thickBot="1">
      <c r="B92" s="464" t="s">
        <v>2364</v>
      </c>
      <c r="C92" s="967">
        <f>+SUM(C85:C91)</f>
        <v>2919168283.6905217</v>
      </c>
      <c r="P92" s="464" t="s">
        <v>2364</v>
      </c>
      <c r="Q92" s="967">
        <f t="shared" ref="Q92" si="2768">+SUM(Q85:Q91)</f>
        <v>686369382.79620457</v>
      </c>
      <c r="AD92" s="464" t="s">
        <v>2364</v>
      </c>
      <c r="AE92" s="967">
        <f t="shared" ref="AE92" si="2769">+SUM(AE85:AE91)</f>
        <v>3605537666.4867263</v>
      </c>
      <c r="AR92" s="464" t="s">
        <v>2364</v>
      </c>
      <c r="AS92" s="967">
        <f t="shared" ref="AS92" si="2770">+SUM(AS85:AS91)</f>
        <v>1040995442.5322738</v>
      </c>
      <c r="BF92" s="464" t="s">
        <v>2364</v>
      </c>
      <c r="BG92" s="967">
        <f t="shared" ref="BG92" si="2771">+SUM(BG85:BG91)</f>
        <v>1493436744.1000128</v>
      </c>
      <c r="BT92" s="464" t="s">
        <v>2364</v>
      </c>
      <c r="BU92" s="967">
        <f t="shared" ref="BU92:DY92" si="2772">+SUM(BU85:BU91)</f>
        <v>1277662073.4214165</v>
      </c>
      <c r="CH92" s="464" t="s">
        <v>2364</v>
      </c>
      <c r="CI92" s="967">
        <f t="shared" si="2772"/>
        <v>1277128426.1995902</v>
      </c>
      <c r="CV92" s="464" t="s">
        <v>2364</v>
      </c>
      <c r="CW92" s="967">
        <f t="shared" si="2772"/>
        <v>700504762.07336676</v>
      </c>
      <c r="DJ92" s="464" t="s">
        <v>2364</v>
      </c>
      <c r="DK92" s="967">
        <f t="shared" si="2772"/>
        <v>1424118817.8171329</v>
      </c>
      <c r="DX92" s="464" t="s">
        <v>2364</v>
      </c>
      <c r="DY92" s="967">
        <f t="shared" si="2772"/>
        <v>1022897790.4695642</v>
      </c>
      <c r="EL92" s="464" t="s">
        <v>2364</v>
      </c>
      <c r="EM92" s="967">
        <f t="shared" ref="EM92:GQ92" si="2773">+SUM(EM85:EM91)</f>
        <v>1457241439.9745934</v>
      </c>
      <c r="EZ92" s="464" t="s">
        <v>2364</v>
      </c>
      <c r="FA92" s="967">
        <f t="shared" si="2773"/>
        <v>1567567866.7066851</v>
      </c>
      <c r="FN92" s="464" t="s">
        <v>2364</v>
      </c>
      <c r="FO92" s="967">
        <f t="shared" si="2773"/>
        <v>1140532528.8771765</v>
      </c>
      <c r="GB92" s="464" t="s">
        <v>2364</v>
      </c>
      <c r="GC92" s="967">
        <f t="shared" si="2773"/>
        <v>881774923.3029027</v>
      </c>
      <c r="GP92" s="464" t="s">
        <v>2364</v>
      </c>
      <c r="GQ92" s="967">
        <f t="shared" si="2773"/>
        <v>551547434.50395262</v>
      </c>
      <c r="HD92" s="464" t="s">
        <v>2364</v>
      </c>
      <c r="HE92" s="967">
        <f t="shared" ref="HE92:JW92" si="2774">+SUM(HE85:HE91)</f>
        <v>1771783256.7957904</v>
      </c>
      <c r="HR92" s="464" t="s">
        <v>2364</v>
      </c>
      <c r="HS92" s="967">
        <f t="shared" si="2774"/>
        <v>622336694.2053225</v>
      </c>
      <c r="IF92" s="464" t="s">
        <v>2364</v>
      </c>
      <c r="IG92" s="967">
        <f t="shared" si="2774"/>
        <v>418604634.28780764</v>
      </c>
      <c r="IT92" s="464" t="s">
        <v>2364</v>
      </c>
      <c r="IU92" s="967">
        <f t="shared" si="2774"/>
        <v>2603057710.7610731</v>
      </c>
      <c r="JH92" s="464" t="s">
        <v>2364</v>
      </c>
      <c r="JI92" s="967">
        <f t="shared" ref="JI92" si="2775">+SUM(JI85:JI91)</f>
        <v>3021662345.0488801</v>
      </c>
      <c r="JV92" s="464" t="s">
        <v>2364</v>
      </c>
      <c r="JW92" s="967">
        <f t="shared" si="2774"/>
        <v>877031210.28941798</v>
      </c>
      <c r="KJ92" s="464" t="s">
        <v>2364</v>
      </c>
      <c r="KK92" s="967">
        <f t="shared" ref="KK92:MO92" si="2776">+SUM(KK85:KK91)</f>
        <v>527379453.02127171</v>
      </c>
      <c r="KX92" s="464" t="s">
        <v>2364</v>
      </c>
      <c r="KY92" s="967">
        <f t="shared" si="2776"/>
        <v>429008262.60533625</v>
      </c>
      <c r="LL92" s="464" t="s">
        <v>2364</v>
      </c>
      <c r="LM92" s="967">
        <f t="shared" si="2776"/>
        <v>1122434876.8144667</v>
      </c>
      <c r="LZ92" s="464" t="s">
        <v>2364</v>
      </c>
      <c r="MA92" s="967">
        <f t="shared" si="2776"/>
        <v>1113386050.783112</v>
      </c>
      <c r="MN92" s="464" t="s">
        <v>2364</v>
      </c>
      <c r="MO92" s="967">
        <f t="shared" si="2776"/>
        <v>1139297220.8532381</v>
      </c>
      <c r="NB92" s="464" t="s">
        <v>2364</v>
      </c>
      <c r="NC92" s="967">
        <f t="shared" ref="NC92:PG92" si="2777">+SUM(NC85:NC91)</f>
        <v>2180386610.7193623</v>
      </c>
      <c r="NP92" s="464" t="s">
        <v>2364</v>
      </c>
      <c r="NQ92" s="967">
        <f t="shared" si="2777"/>
        <v>347092269.92302889</v>
      </c>
      <c r="OD92" s="464" t="s">
        <v>2364</v>
      </c>
      <c r="OE92" s="967">
        <f t="shared" si="2777"/>
        <v>452358602.29053223</v>
      </c>
      <c r="OR92" s="464" t="s">
        <v>2364</v>
      </c>
      <c r="OS92" s="967">
        <f t="shared" si="2777"/>
        <v>571503336.78994334</v>
      </c>
      <c r="PF92" s="464" t="s">
        <v>2364</v>
      </c>
      <c r="PG92" s="967">
        <f t="shared" si="2777"/>
        <v>145331028.82666552</v>
      </c>
      <c r="PT92" s="464" t="s">
        <v>2364</v>
      </c>
      <c r="PU92" s="967">
        <f t="shared" ref="PU92:RY92" si="2778">+SUM(PU85:PU91)</f>
        <v>224281079.69045988</v>
      </c>
      <c r="QH92" s="464" t="s">
        <v>2364</v>
      </c>
      <c r="QI92" s="967">
        <f t="shared" si="2778"/>
        <v>83925433.710381001</v>
      </c>
      <c r="QV92" s="464" t="s">
        <v>2364</v>
      </c>
      <c r="QW92" s="967">
        <f t="shared" si="2778"/>
        <v>189192168.19544014</v>
      </c>
      <c r="RJ92" s="464" t="s">
        <v>2364</v>
      </c>
      <c r="RK92" s="967">
        <f t="shared" si="2778"/>
        <v>84150904.521709651</v>
      </c>
      <c r="RX92" s="464" t="s">
        <v>2364</v>
      </c>
      <c r="RY92" s="967">
        <f t="shared" si="2778"/>
        <v>127786573.07915565</v>
      </c>
      <c r="SL92" s="464" t="s">
        <v>2364</v>
      </c>
      <c r="SM92" s="967">
        <f t="shared" ref="SM92" si="2779">+SUM(SM85:SM91)</f>
        <v>0</v>
      </c>
      <c r="SZ92" s="464" t="s">
        <v>2364</v>
      </c>
      <c r="TA92" s="967">
        <f t="shared" ref="TA92" si="2780">+SUM(TA85:TA91)</f>
        <v>32471273294.628906</v>
      </c>
      <c r="TG92" s="105"/>
      <c r="TK92" s="105"/>
    </row>
    <row r="93" spans="2:531" ht="15.75" customHeight="1">
      <c r="B93" s="105" t="s">
        <v>2419</v>
      </c>
      <c r="P93" s="105" t="s">
        <v>2419</v>
      </c>
      <c r="AD93" s="105" t="s">
        <v>2419</v>
      </c>
      <c r="AR93" s="105" t="s">
        <v>2419</v>
      </c>
      <c r="BF93" s="105" t="s">
        <v>2419</v>
      </c>
      <c r="BT93" s="105" t="s">
        <v>2419</v>
      </c>
      <c r="CH93" s="105" t="s">
        <v>2419</v>
      </c>
      <c r="CV93" s="105" t="s">
        <v>2419</v>
      </c>
      <c r="DJ93" s="105" t="s">
        <v>2419</v>
      </c>
      <c r="DX93" s="105" t="s">
        <v>2419</v>
      </c>
      <c r="EL93" s="105" t="s">
        <v>2419</v>
      </c>
      <c r="EZ93" s="105" t="s">
        <v>2419</v>
      </c>
      <c r="FN93" s="105" t="s">
        <v>2419</v>
      </c>
      <c r="GB93" s="105" t="s">
        <v>2419</v>
      </c>
      <c r="GP93" s="105" t="s">
        <v>2419</v>
      </c>
      <c r="HD93" s="105" t="s">
        <v>2419</v>
      </c>
      <c r="HR93" s="105" t="s">
        <v>2419</v>
      </c>
      <c r="IF93" s="105" t="s">
        <v>2419</v>
      </c>
      <c r="IT93" s="105" t="s">
        <v>2419</v>
      </c>
      <c r="JH93" s="105" t="s">
        <v>2419</v>
      </c>
      <c r="JV93" s="105" t="s">
        <v>2419</v>
      </c>
      <c r="KJ93" s="105" t="s">
        <v>2419</v>
      </c>
      <c r="KX93" s="105" t="s">
        <v>2419</v>
      </c>
      <c r="LL93" s="105" t="s">
        <v>2419</v>
      </c>
      <c r="LZ93" s="105" t="s">
        <v>2419</v>
      </c>
      <c r="MN93" s="105" t="s">
        <v>2419</v>
      </c>
      <c r="NB93" s="105" t="s">
        <v>2419</v>
      </c>
      <c r="NP93" s="105" t="s">
        <v>2419</v>
      </c>
      <c r="OD93" s="105" t="s">
        <v>2419</v>
      </c>
      <c r="OR93" s="105" t="s">
        <v>2419</v>
      </c>
      <c r="PF93" s="105" t="s">
        <v>2419</v>
      </c>
      <c r="PT93" s="105" t="s">
        <v>2419</v>
      </c>
      <c r="QH93" s="105" t="s">
        <v>2419</v>
      </c>
      <c r="QV93" s="105" t="s">
        <v>2419</v>
      </c>
      <c r="RJ93" s="105" t="s">
        <v>2419</v>
      </c>
      <c r="RX93" s="105" t="s">
        <v>2419</v>
      </c>
      <c r="SL93" s="105" t="s">
        <v>2419</v>
      </c>
      <c r="SZ93" s="105" t="s">
        <v>2419</v>
      </c>
    </row>
  </sheetData>
  <sheetProtection password="CC59" sheet="1" objects="1" scenarios="1"/>
  <mergeCells count="1026">
    <mergeCell ref="JH61:JJ61"/>
    <mergeCell ref="JH65:JJ65"/>
    <mergeCell ref="JH66:JJ66"/>
    <mergeCell ref="JH84:JI84"/>
    <mergeCell ref="JI23:JJ23"/>
    <mergeCell ref="JL23:JM23"/>
    <mergeCell ref="JH24:JH25"/>
    <mergeCell ref="JI24:JJ24"/>
    <mergeCell ref="JI25:JM25"/>
    <mergeCell ref="JI29:JJ29"/>
    <mergeCell ref="JH30:JH34"/>
    <mergeCell ref="JH37:JJ37"/>
    <mergeCell ref="JI39:JL39"/>
    <mergeCell ref="SL53:SL57"/>
    <mergeCell ref="SL61:SN61"/>
    <mergeCell ref="SL65:SN65"/>
    <mergeCell ref="SL66:SN66"/>
    <mergeCell ref="RJ30:RJ34"/>
    <mergeCell ref="RX30:RX34"/>
    <mergeCell ref="RJ24:RJ25"/>
    <mergeCell ref="RK24:RL24"/>
    <mergeCell ref="RX24:RX25"/>
    <mergeCell ref="RY24:RZ24"/>
    <mergeCell ref="RK25:RO25"/>
    <mergeCell ref="RY25:SC25"/>
    <mergeCell ref="RK23:RL23"/>
    <mergeCell ref="RN23:RO23"/>
    <mergeCell ref="RY23:RZ23"/>
    <mergeCell ref="SB23:SC23"/>
    <mergeCell ref="SM45:SP45"/>
    <mergeCell ref="SL46:SL47"/>
    <mergeCell ref="SL43:SP43"/>
    <mergeCell ref="SL30:SL34"/>
    <mergeCell ref="SL37:SN37"/>
    <mergeCell ref="SM39:SP39"/>
    <mergeCell ref="SL9:SR9"/>
    <mergeCell ref="SL11:SN11"/>
    <mergeCell ref="SB17:SC17"/>
    <mergeCell ref="RN18:RO18"/>
    <mergeCell ref="SB18:SC18"/>
    <mergeCell ref="RN19:RO19"/>
    <mergeCell ref="SB19:SC19"/>
    <mergeCell ref="RN20:RO20"/>
    <mergeCell ref="SB20:SC20"/>
    <mergeCell ref="RJ9:RP9"/>
    <mergeCell ref="RX9:SD9"/>
    <mergeCell ref="RJ11:RL11"/>
    <mergeCell ref="JH53:JH57"/>
    <mergeCell ref="SP23:SQ23"/>
    <mergeCell ref="SL24:SL25"/>
    <mergeCell ref="SM24:SN24"/>
    <mergeCell ref="SM25:SQ25"/>
    <mergeCell ref="SM29:SN29"/>
    <mergeCell ref="RX16:RX20"/>
    <mergeCell ref="SB16:SC16"/>
    <mergeCell ref="RN17:RO17"/>
    <mergeCell ref="SP17:SQ17"/>
    <mergeCell ref="SP18:SQ18"/>
    <mergeCell ref="SP19:SQ19"/>
    <mergeCell ref="SP20:SQ20"/>
    <mergeCell ref="JH9:JN9"/>
    <mergeCell ref="JH11:JJ11"/>
    <mergeCell ref="JL15:JM15"/>
    <mergeCell ref="JH16:JH20"/>
    <mergeCell ref="JL16:JM16"/>
    <mergeCell ref="JL17:JM17"/>
    <mergeCell ref="JL18:JM18"/>
    <mergeCell ref="JL19:JM19"/>
    <mergeCell ref="JL20:JM20"/>
    <mergeCell ref="RJ84:RK84"/>
    <mergeCell ref="RX84:RY84"/>
    <mergeCell ref="SP15:SQ15"/>
    <mergeCell ref="SL16:SL20"/>
    <mergeCell ref="SP16:SQ16"/>
    <mergeCell ref="SL50:SN50"/>
    <mergeCell ref="JH43:JL43"/>
    <mergeCell ref="JI45:JL45"/>
    <mergeCell ref="JH46:JH47"/>
    <mergeCell ref="JH50:JJ50"/>
    <mergeCell ref="SZ9:TF9"/>
    <mergeCell ref="SZ11:TB11"/>
    <mergeCell ref="AD43:AH43"/>
    <mergeCell ref="AE45:AH45"/>
    <mergeCell ref="AD46:AD47"/>
    <mergeCell ref="AD50:AF50"/>
    <mergeCell ref="AD53:AD57"/>
    <mergeCell ref="AD61:AF61"/>
    <mergeCell ref="AD65:AF65"/>
    <mergeCell ref="AD66:AF66"/>
    <mergeCell ref="AD84:AE84"/>
    <mergeCell ref="AE23:AF23"/>
    <mergeCell ref="AH23:AI23"/>
    <mergeCell ref="AD24:AD25"/>
    <mergeCell ref="AE24:AF24"/>
    <mergeCell ref="AE25:AI25"/>
    <mergeCell ref="AE29:AF29"/>
    <mergeCell ref="AD30:AD34"/>
    <mergeCell ref="AD37:AF37"/>
    <mergeCell ref="AE39:AH39"/>
    <mergeCell ref="SL84:SM84"/>
    <mergeCell ref="SM23:SN23"/>
    <mergeCell ref="SZ84:TA84"/>
    <mergeCell ref="SZ46:SZ47"/>
    <mergeCell ref="SZ50:TB50"/>
    <mergeCell ref="SZ53:SZ57"/>
    <mergeCell ref="SZ61:TB61"/>
    <mergeCell ref="SZ65:TB65"/>
    <mergeCell ref="SZ66:TB66"/>
    <mergeCell ref="TA29:TB29"/>
    <mergeCell ref="SZ30:SZ34"/>
    <mergeCell ref="SZ37:TB37"/>
    <mergeCell ref="TA39:TD39"/>
    <mergeCell ref="SZ43:TD43"/>
    <mergeCell ref="TA45:TD45"/>
    <mergeCell ref="TD20:TE20"/>
    <mergeCell ref="TA23:TB23"/>
    <mergeCell ref="TD23:TE23"/>
    <mergeCell ref="SZ24:SZ25"/>
    <mergeCell ref="TA24:TB24"/>
    <mergeCell ref="TA25:TE25"/>
    <mergeCell ref="TD15:TE15"/>
    <mergeCell ref="SZ16:SZ20"/>
    <mergeCell ref="TD16:TE16"/>
    <mergeCell ref="TD17:TE17"/>
    <mergeCell ref="TD18:TE18"/>
    <mergeCell ref="TD19:TE19"/>
    <mergeCell ref="RJ66:RL66"/>
    <mergeCell ref="RX66:RZ66"/>
    <mergeCell ref="RX61:RZ61"/>
    <mergeCell ref="RX65:RZ65"/>
    <mergeCell ref="RJ50:RL50"/>
    <mergeCell ref="RX50:RZ50"/>
    <mergeCell ref="RJ53:RJ57"/>
    <mergeCell ref="RX53:RX57"/>
    <mergeCell ref="OD84:OE84"/>
    <mergeCell ref="OR84:OS84"/>
    <mergeCell ref="PF84:PG84"/>
    <mergeCell ref="PT84:PU84"/>
    <mergeCell ref="QH84:QI84"/>
    <mergeCell ref="QV84:QW84"/>
    <mergeCell ref="RJ43:RN43"/>
    <mergeCell ref="RX43:SB43"/>
    <mergeCell ref="RK45:RN45"/>
    <mergeCell ref="RY45:SB45"/>
    <mergeCell ref="RJ46:RJ47"/>
    <mergeCell ref="RX46:RX47"/>
    <mergeCell ref="RJ37:RL37"/>
    <mergeCell ref="RX37:RZ37"/>
    <mergeCell ref="RK39:RN39"/>
    <mergeCell ref="RY39:SB39"/>
    <mergeCell ref="RK29:RL29"/>
    <mergeCell ref="RY29:RZ29"/>
    <mergeCell ref="KX84:KY84"/>
    <mergeCell ref="LL84:LM84"/>
    <mergeCell ref="LZ84:MA84"/>
    <mergeCell ref="MN84:MO84"/>
    <mergeCell ref="NB84:NC84"/>
    <mergeCell ref="NP84:NQ84"/>
    <mergeCell ref="HD84:HE84"/>
    <mergeCell ref="HR84:HS84"/>
    <mergeCell ref="IF84:IG84"/>
    <mergeCell ref="IT84:IU84"/>
    <mergeCell ref="JV84:JW84"/>
    <mergeCell ref="KJ84:KK84"/>
    <mergeCell ref="DX84:DY84"/>
    <mergeCell ref="EL84:EM84"/>
    <mergeCell ref="EZ84:FA84"/>
    <mergeCell ref="FN84:FO84"/>
    <mergeCell ref="GB84:GC84"/>
    <mergeCell ref="GP84:GQ84"/>
    <mergeCell ref="B84:C84"/>
    <mergeCell ref="P84:Q84"/>
    <mergeCell ref="AR84:AS84"/>
    <mergeCell ref="BF84:BG84"/>
    <mergeCell ref="BT84:BU84"/>
    <mergeCell ref="CH84:CI84"/>
    <mergeCell ref="CV84:CW84"/>
    <mergeCell ref="DJ84:DK84"/>
    <mergeCell ref="RJ61:RL61"/>
    <mergeCell ref="RJ65:RL65"/>
    <mergeCell ref="QH66:QJ66"/>
    <mergeCell ref="QV66:QX66"/>
    <mergeCell ref="QH65:QJ65"/>
    <mergeCell ref="QV65:QX65"/>
    <mergeCell ref="PF66:PH66"/>
    <mergeCell ref="PT66:PV66"/>
    <mergeCell ref="PF65:PH65"/>
    <mergeCell ref="PT65:PV65"/>
    <mergeCell ref="OD66:OF66"/>
    <mergeCell ref="OR66:OT66"/>
    <mergeCell ref="OD65:OF65"/>
    <mergeCell ref="OR65:OT65"/>
    <mergeCell ref="NB66:ND66"/>
    <mergeCell ref="NP66:NR66"/>
    <mergeCell ref="OD61:OF61"/>
    <mergeCell ref="OR61:OT61"/>
    <mergeCell ref="NB65:ND65"/>
    <mergeCell ref="NP65:NR65"/>
    <mergeCell ref="KJ66:KL66"/>
    <mergeCell ref="JV66:JX66"/>
    <mergeCell ref="IT66:IV66"/>
    <mergeCell ref="IF66:IH66"/>
    <mergeCell ref="RX11:RZ11"/>
    <mergeCell ref="RN15:RO15"/>
    <mergeCell ref="SB15:SC15"/>
    <mergeCell ref="RJ16:RJ20"/>
    <mergeCell ref="RN16:RO16"/>
    <mergeCell ref="QH61:QJ61"/>
    <mergeCell ref="QV61:QX61"/>
    <mergeCell ref="QH50:QJ50"/>
    <mergeCell ref="QV50:QX50"/>
    <mergeCell ref="QH53:QH57"/>
    <mergeCell ref="QV53:QV57"/>
    <mergeCell ref="QH43:QL43"/>
    <mergeCell ref="QV43:QZ43"/>
    <mergeCell ref="QI45:QL45"/>
    <mergeCell ref="QW45:QZ45"/>
    <mergeCell ref="QH46:QH47"/>
    <mergeCell ref="QV46:QV47"/>
    <mergeCell ref="QH37:QJ37"/>
    <mergeCell ref="QV37:QX37"/>
    <mergeCell ref="QI39:QL39"/>
    <mergeCell ref="QW39:QZ39"/>
    <mergeCell ref="QI29:QJ29"/>
    <mergeCell ref="QW29:QX29"/>
    <mergeCell ref="QH30:QH34"/>
    <mergeCell ref="QV30:QV34"/>
    <mergeCell ref="QH24:QH25"/>
    <mergeCell ref="QI24:QJ24"/>
    <mergeCell ref="QV24:QV25"/>
    <mergeCell ref="QW24:QX24"/>
    <mergeCell ref="QI25:QM25"/>
    <mergeCell ref="QW25:RA25"/>
    <mergeCell ref="QI23:QJ23"/>
    <mergeCell ref="QL23:QM23"/>
    <mergeCell ref="QW23:QX23"/>
    <mergeCell ref="QZ23:RA23"/>
    <mergeCell ref="QV16:QV20"/>
    <mergeCell ref="QZ16:RA16"/>
    <mergeCell ref="QL17:QM17"/>
    <mergeCell ref="QZ17:RA17"/>
    <mergeCell ref="QL18:QM18"/>
    <mergeCell ref="QZ18:RA18"/>
    <mergeCell ref="QL19:QM19"/>
    <mergeCell ref="QZ19:RA19"/>
    <mergeCell ref="QL20:QM20"/>
    <mergeCell ref="QZ20:RA20"/>
    <mergeCell ref="QH9:QN9"/>
    <mergeCell ref="QV9:RB9"/>
    <mergeCell ref="QH11:QJ11"/>
    <mergeCell ref="QV11:QX11"/>
    <mergeCell ref="QL15:QM15"/>
    <mergeCell ref="QZ15:RA15"/>
    <mergeCell ref="QH16:QH20"/>
    <mergeCell ref="QL16:QM16"/>
    <mergeCell ref="PF61:PH61"/>
    <mergeCell ref="PT61:PV61"/>
    <mergeCell ref="PF50:PH50"/>
    <mergeCell ref="PT50:PV50"/>
    <mergeCell ref="PF53:PF57"/>
    <mergeCell ref="PT53:PT57"/>
    <mergeCell ref="PF43:PJ43"/>
    <mergeCell ref="PT43:PX43"/>
    <mergeCell ref="PG45:PJ45"/>
    <mergeCell ref="PU45:PX45"/>
    <mergeCell ref="PF46:PF47"/>
    <mergeCell ref="PT46:PT47"/>
    <mergeCell ref="PF37:PH37"/>
    <mergeCell ref="PT37:PV37"/>
    <mergeCell ref="PG39:PJ39"/>
    <mergeCell ref="PU39:PX39"/>
    <mergeCell ref="PG29:PH29"/>
    <mergeCell ref="PU29:PV29"/>
    <mergeCell ref="PF30:PF34"/>
    <mergeCell ref="PT30:PT34"/>
    <mergeCell ref="PF24:PF25"/>
    <mergeCell ref="PG24:PH24"/>
    <mergeCell ref="PT24:PT25"/>
    <mergeCell ref="PU24:PV24"/>
    <mergeCell ref="PG25:PK25"/>
    <mergeCell ref="PU25:PY25"/>
    <mergeCell ref="PG23:PH23"/>
    <mergeCell ref="PJ23:PK23"/>
    <mergeCell ref="PU23:PV23"/>
    <mergeCell ref="PX23:PY23"/>
    <mergeCell ref="PT16:PT20"/>
    <mergeCell ref="PX16:PY16"/>
    <mergeCell ref="PJ17:PK17"/>
    <mergeCell ref="PX17:PY17"/>
    <mergeCell ref="PJ18:PK18"/>
    <mergeCell ref="PX18:PY18"/>
    <mergeCell ref="PJ19:PK19"/>
    <mergeCell ref="PX19:PY19"/>
    <mergeCell ref="PJ20:PK20"/>
    <mergeCell ref="PX20:PY20"/>
    <mergeCell ref="PF9:PL9"/>
    <mergeCell ref="PT9:PZ9"/>
    <mergeCell ref="PF11:PH11"/>
    <mergeCell ref="PT11:PV11"/>
    <mergeCell ref="PJ15:PK15"/>
    <mergeCell ref="PX15:PY15"/>
    <mergeCell ref="PF16:PF20"/>
    <mergeCell ref="PJ16:PK16"/>
    <mergeCell ref="OD50:OF50"/>
    <mergeCell ref="OR50:OT50"/>
    <mergeCell ref="OD53:OD57"/>
    <mergeCell ref="OR53:OR57"/>
    <mergeCell ref="OD43:OH43"/>
    <mergeCell ref="OR43:OV43"/>
    <mergeCell ref="OE45:OH45"/>
    <mergeCell ref="OS45:OV45"/>
    <mergeCell ref="OD46:OD47"/>
    <mergeCell ref="OR46:OR47"/>
    <mergeCell ref="OD37:OF37"/>
    <mergeCell ref="OR37:OT37"/>
    <mergeCell ref="OE39:OH39"/>
    <mergeCell ref="OS39:OV39"/>
    <mergeCell ref="OE29:OF29"/>
    <mergeCell ref="OS29:OT29"/>
    <mergeCell ref="OD30:OD34"/>
    <mergeCell ref="OR30:OR34"/>
    <mergeCell ref="OD24:OD25"/>
    <mergeCell ref="OE24:OF24"/>
    <mergeCell ref="OR24:OR25"/>
    <mergeCell ref="OS24:OT24"/>
    <mergeCell ref="OE25:OI25"/>
    <mergeCell ref="OS25:OW25"/>
    <mergeCell ref="OE23:OF23"/>
    <mergeCell ref="OH23:OI23"/>
    <mergeCell ref="OS23:OT23"/>
    <mergeCell ref="OV23:OW23"/>
    <mergeCell ref="OR16:OR20"/>
    <mergeCell ref="OV16:OW16"/>
    <mergeCell ref="OH17:OI17"/>
    <mergeCell ref="OV17:OW17"/>
    <mergeCell ref="OH18:OI18"/>
    <mergeCell ref="OV18:OW18"/>
    <mergeCell ref="OH19:OI19"/>
    <mergeCell ref="OV19:OW19"/>
    <mergeCell ref="OH20:OI20"/>
    <mergeCell ref="OV20:OW20"/>
    <mergeCell ref="OD9:OJ9"/>
    <mergeCell ref="OR9:OX9"/>
    <mergeCell ref="OD11:OF11"/>
    <mergeCell ref="OR11:OT11"/>
    <mergeCell ref="OH15:OI15"/>
    <mergeCell ref="OV15:OW15"/>
    <mergeCell ref="OD16:OD20"/>
    <mergeCell ref="OH16:OI16"/>
    <mergeCell ref="NB61:ND61"/>
    <mergeCell ref="NP61:NR61"/>
    <mergeCell ref="NB37:ND37"/>
    <mergeCell ref="NP37:NR37"/>
    <mergeCell ref="NC39:NF39"/>
    <mergeCell ref="NQ39:NT39"/>
    <mergeCell ref="NC29:ND29"/>
    <mergeCell ref="NQ29:NR29"/>
    <mergeCell ref="NB30:NB34"/>
    <mergeCell ref="NP30:NP34"/>
    <mergeCell ref="NB24:NB25"/>
    <mergeCell ref="NC24:ND24"/>
    <mergeCell ref="NP24:NP25"/>
    <mergeCell ref="NQ24:NR24"/>
    <mergeCell ref="NC25:NG25"/>
    <mergeCell ref="NQ25:NU25"/>
    <mergeCell ref="NB50:ND50"/>
    <mergeCell ref="NP50:NR50"/>
    <mergeCell ref="NB53:NB57"/>
    <mergeCell ref="NP53:NP57"/>
    <mergeCell ref="NB43:NF43"/>
    <mergeCell ref="NP43:NT43"/>
    <mergeCell ref="NC45:NF45"/>
    <mergeCell ref="NQ45:NT45"/>
    <mergeCell ref="NB46:NB47"/>
    <mergeCell ref="NP46:NP47"/>
    <mergeCell ref="NC23:ND23"/>
    <mergeCell ref="NF23:NG23"/>
    <mergeCell ref="NQ23:NR23"/>
    <mergeCell ref="NT23:NU23"/>
    <mergeCell ref="NP16:NP20"/>
    <mergeCell ref="NT16:NU16"/>
    <mergeCell ref="NF17:NG17"/>
    <mergeCell ref="NT17:NU17"/>
    <mergeCell ref="NF18:NG18"/>
    <mergeCell ref="NT18:NU18"/>
    <mergeCell ref="NF19:NG19"/>
    <mergeCell ref="NT19:NU19"/>
    <mergeCell ref="NF20:NG20"/>
    <mergeCell ref="NT20:NU20"/>
    <mergeCell ref="LZ66:MB66"/>
    <mergeCell ref="MN66:MP66"/>
    <mergeCell ref="MN24:MN25"/>
    <mergeCell ref="MO24:MP24"/>
    <mergeCell ref="MA25:ME25"/>
    <mergeCell ref="MO25:MS25"/>
    <mergeCell ref="MA23:MB23"/>
    <mergeCell ref="MD23:ME23"/>
    <mergeCell ref="MO23:MP23"/>
    <mergeCell ref="MR23:MS23"/>
    <mergeCell ref="MN16:MN20"/>
    <mergeCell ref="MR16:MS16"/>
    <mergeCell ref="MD17:ME17"/>
    <mergeCell ref="MR17:MS17"/>
    <mergeCell ref="MD18:ME18"/>
    <mergeCell ref="MR18:MS18"/>
    <mergeCell ref="MD19:ME19"/>
    <mergeCell ref="MR19:MS19"/>
    <mergeCell ref="NB9:NH9"/>
    <mergeCell ref="NP9:NV9"/>
    <mergeCell ref="NB11:ND11"/>
    <mergeCell ref="NP11:NR11"/>
    <mergeCell ref="NF15:NG15"/>
    <mergeCell ref="NT15:NU15"/>
    <mergeCell ref="NB16:NB20"/>
    <mergeCell ref="NF16:NG16"/>
    <mergeCell ref="LZ61:MB61"/>
    <mergeCell ref="MN61:MP61"/>
    <mergeCell ref="LZ65:MB65"/>
    <mergeCell ref="MN65:MP65"/>
    <mergeCell ref="LZ50:MB50"/>
    <mergeCell ref="MN50:MP50"/>
    <mergeCell ref="LZ53:LZ57"/>
    <mergeCell ref="MN53:MN57"/>
    <mergeCell ref="LZ43:MD43"/>
    <mergeCell ref="MN43:MR43"/>
    <mergeCell ref="MA45:MD45"/>
    <mergeCell ref="MO45:MR45"/>
    <mergeCell ref="LZ46:LZ47"/>
    <mergeCell ref="MN46:MN47"/>
    <mergeCell ref="LZ37:MB37"/>
    <mergeCell ref="MN37:MP37"/>
    <mergeCell ref="MA39:MD39"/>
    <mergeCell ref="MO39:MR39"/>
    <mergeCell ref="MA29:MB29"/>
    <mergeCell ref="MO29:MP29"/>
    <mergeCell ref="LZ30:LZ34"/>
    <mergeCell ref="MN30:MN34"/>
    <mergeCell ref="LZ24:LZ25"/>
    <mergeCell ref="MA24:MB24"/>
    <mergeCell ref="MD20:ME20"/>
    <mergeCell ref="MR20:MS20"/>
    <mergeCell ref="KX66:KZ66"/>
    <mergeCell ref="LL66:LN66"/>
    <mergeCell ref="LZ9:MF9"/>
    <mergeCell ref="MN9:MT9"/>
    <mergeCell ref="LZ11:MB11"/>
    <mergeCell ref="MN11:MP11"/>
    <mergeCell ref="MD15:ME15"/>
    <mergeCell ref="MR15:MS15"/>
    <mergeCell ref="LZ16:LZ20"/>
    <mergeCell ref="MD16:ME16"/>
    <mergeCell ref="KX61:KZ61"/>
    <mergeCell ref="LL61:LN61"/>
    <mergeCell ref="KX65:KZ65"/>
    <mergeCell ref="LL65:LN65"/>
    <mergeCell ref="KX50:KZ50"/>
    <mergeCell ref="LL50:LN50"/>
    <mergeCell ref="KX53:KX57"/>
    <mergeCell ref="LL53:LL57"/>
    <mergeCell ref="KX43:LB43"/>
    <mergeCell ref="LL43:LP43"/>
    <mergeCell ref="KY45:LB45"/>
    <mergeCell ref="LM45:LP45"/>
    <mergeCell ref="KX46:KX47"/>
    <mergeCell ref="LL46:LL47"/>
    <mergeCell ref="KX37:KZ37"/>
    <mergeCell ref="LL37:LN37"/>
    <mergeCell ref="KY39:LB39"/>
    <mergeCell ref="LM39:LP39"/>
    <mergeCell ref="KY29:KZ29"/>
    <mergeCell ref="LM29:LN29"/>
    <mergeCell ref="KX30:KX34"/>
    <mergeCell ref="LL30:LL34"/>
    <mergeCell ref="KY23:KZ23"/>
    <mergeCell ref="LB23:LC23"/>
    <mergeCell ref="LM23:LN23"/>
    <mergeCell ref="LP23:LQ23"/>
    <mergeCell ref="KX24:KX25"/>
    <mergeCell ref="KY24:KZ24"/>
    <mergeCell ref="LL24:LL25"/>
    <mergeCell ref="LM24:LN24"/>
    <mergeCell ref="KY25:LC25"/>
    <mergeCell ref="LM25:LQ25"/>
    <mergeCell ref="LB20:LC20"/>
    <mergeCell ref="LP20:LQ20"/>
    <mergeCell ref="LP16:LQ16"/>
    <mergeCell ref="LB17:LC17"/>
    <mergeCell ref="LP17:LQ17"/>
    <mergeCell ref="LB18:LC18"/>
    <mergeCell ref="LP18:LQ18"/>
    <mergeCell ref="LB19:LC19"/>
    <mergeCell ref="LP19:LQ19"/>
    <mergeCell ref="KX9:LD9"/>
    <mergeCell ref="LL9:LR9"/>
    <mergeCell ref="KX11:KZ11"/>
    <mergeCell ref="LL11:LN11"/>
    <mergeCell ref="LB15:LC15"/>
    <mergeCell ref="LP15:LQ15"/>
    <mergeCell ref="KX16:KX20"/>
    <mergeCell ref="LB16:LC16"/>
    <mergeCell ref="LL16:LL20"/>
    <mergeCell ref="KJ50:KL50"/>
    <mergeCell ref="KJ53:KJ57"/>
    <mergeCell ref="KJ61:KL61"/>
    <mergeCell ref="KJ65:KL65"/>
    <mergeCell ref="KJ37:KL37"/>
    <mergeCell ref="KK39:KN39"/>
    <mergeCell ref="KJ43:KN43"/>
    <mergeCell ref="KK45:KN45"/>
    <mergeCell ref="KJ46:KJ47"/>
    <mergeCell ref="KJ24:KJ25"/>
    <mergeCell ref="KK24:KL24"/>
    <mergeCell ref="KK25:KO25"/>
    <mergeCell ref="KK29:KL29"/>
    <mergeCell ref="KJ30:KJ34"/>
    <mergeCell ref="KK23:KL23"/>
    <mergeCell ref="KN23:KO23"/>
    <mergeCell ref="KJ9:KP9"/>
    <mergeCell ref="KJ11:KL11"/>
    <mergeCell ref="KN15:KO15"/>
    <mergeCell ref="KJ16:KJ20"/>
    <mergeCell ref="KN16:KO16"/>
    <mergeCell ref="KN17:KO17"/>
    <mergeCell ref="KN18:KO18"/>
    <mergeCell ref="KN19:KO19"/>
    <mergeCell ref="KN20:KO20"/>
    <mergeCell ref="JV50:JX50"/>
    <mergeCell ref="JV53:JV57"/>
    <mergeCell ref="JV61:JX61"/>
    <mergeCell ref="JV65:JX65"/>
    <mergeCell ref="JV37:JX37"/>
    <mergeCell ref="JW39:JZ39"/>
    <mergeCell ref="JV43:JZ43"/>
    <mergeCell ref="JW45:JZ45"/>
    <mergeCell ref="JV46:JV47"/>
    <mergeCell ref="JV24:JV25"/>
    <mergeCell ref="JW24:JX24"/>
    <mergeCell ref="JW25:KA25"/>
    <mergeCell ref="JW29:JX29"/>
    <mergeCell ref="JV30:JV34"/>
    <mergeCell ref="JW23:JX23"/>
    <mergeCell ref="JZ23:KA23"/>
    <mergeCell ref="JV9:KB9"/>
    <mergeCell ref="JV11:JX11"/>
    <mergeCell ref="JZ15:KA15"/>
    <mergeCell ref="JV16:JV20"/>
    <mergeCell ref="JZ16:KA16"/>
    <mergeCell ref="JZ17:KA17"/>
    <mergeCell ref="JZ18:KA18"/>
    <mergeCell ref="JZ19:KA19"/>
    <mergeCell ref="JZ20:KA20"/>
    <mergeCell ref="IT50:IV50"/>
    <mergeCell ref="IT53:IT57"/>
    <mergeCell ref="IT61:IV61"/>
    <mergeCell ref="IT65:IV65"/>
    <mergeCell ref="IT37:IV37"/>
    <mergeCell ref="IU39:IX39"/>
    <mergeCell ref="IT43:IX43"/>
    <mergeCell ref="IU45:IX45"/>
    <mergeCell ref="IT46:IT47"/>
    <mergeCell ref="IT24:IT25"/>
    <mergeCell ref="IU24:IV24"/>
    <mergeCell ref="IU25:IY25"/>
    <mergeCell ref="IU29:IV29"/>
    <mergeCell ref="IT30:IT34"/>
    <mergeCell ref="IU23:IV23"/>
    <mergeCell ref="IX23:IY23"/>
    <mergeCell ref="IT9:IZ9"/>
    <mergeCell ref="IT11:IV11"/>
    <mergeCell ref="IX15:IY15"/>
    <mergeCell ref="IT16:IT20"/>
    <mergeCell ref="IX16:IY16"/>
    <mergeCell ref="IX17:IY17"/>
    <mergeCell ref="IX18:IY18"/>
    <mergeCell ref="IX19:IY19"/>
    <mergeCell ref="IX20:IY20"/>
    <mergeCell ref="IF50:IH50"/>
    <mergeCell ref="IF53:IF57"/>
    <mergeCell ref="IF61:IH61"/>
    <mergeCell ref="IF65:IH65"/>
    <mergeCell ref="IF37:IH37"/>
    <mergeCell ref="IG39:IJ39"/>
    <mergeCell ref="IF43:IJ43"/>
    <mergeCell ref="IG45:IJ45"/>
    <mergeCell ref="IF46:IF47"/>
    <mergeCell ref="IF24:IF25"/>
    <mergeCell ref="IG24:IH24"/>
    <mergeCell ref="IG25:IK25"/>
    <mergeCell ref="IG29:IH29"/>
    <mergeCell ref="IF30:IF34"/>
    <mergeCell ref="IG23:IH23"/>
    <mergeCell ref="IJ23:IK23"/>
    <mergeCell ref="HS39:HV39"/>
    <mergeCell ref="HR43:HV43"/>
    <mergeCell ref="HS45:HV45"/>
    <mergeCell ref="HR46:HR47"/>
    <mergeCell ref="HR24:HR25"/>
    <mergeCell ref="HS24:HT24"/>
    <mergeCell ref="HS25:HW25"/>
    <mergeCell ref="HS29:HT29"/>
    <mergeCell ref="HR30:HR34"/>
    <mergeCell ref="HS23:HT23"/>
    <mergeCell ref="IF9:IL9"/>
    <mergeCell ref="IF11:IH11"/>
    <mergeCell ref="IJ15:IK15"/>
    <mergeCell ref="IF16:IF20"/>
    <mergeCell ref="IJ16:IK16"/>
    <mergeCell ref="IJ17:IK17"/>
    <mergeCell ref="IJ18:IK18"/>
    <mergeCell ref="IJ19:IK19"/>
    <mergeCell ref="IJ20:IK20"/>
    <mergeCell ref="HV23:HW23"/>
    <mergeCell ref="HD66:HF66"/>
    <mergeCell ref="HR9:HX9"/>
    <mergeCell ref="HR11:HT11"/>
    <mergeCell ref="HV15:HW15"/>
    <mergeCell ref="HR16:HR20"/>
    <mergeCell ref="HV16:HW16"/>
    <mergeCell ref="HV17:HW17"/>
    <mergeCell ref="HV18:HW18"/>
    <mergeCell ref="HV19:HW19"/>
    <mergeCell ref="HV20:HW20"/>
    <mergeCell ref="HD50:HF50"/>
    <mergeCell ref="HD53:HD57"/>
    <mergeCell ref="HD61:HF61"/>
    <mergeCell ref="HD65:HF65"/>
    <mergeCell ref="HD37:HF37"/>
    <mergeCell ref="HE39:HH39"/>
    <mergeCell ref="HD43:HH43"/>
    <mergeCell ref="HE45:HH45"/>
    <mergeCell ref="HD46:HD47"/>
    <mergeCell ref="HD24:HD25"/>
    <mergeCell ref="HE24:HF24"/>
    <mergeCell ref="HE25:HI25"/>
    <mergeCell ref="HE29:HF29"/>
    <mergeCell ref="HD30:HD34"/>
    <mergeCell ref="HE23:HF23"/>
    <mergeCell ref="HH23:HI23"/>
    <mergeCell ref="HR66:HT66"/>
    <mergeCell ref="HR50:HT50"/>
    <mergeCell ref="HR53:HR57"/>
    <mergeCell ref="HR61:HT61"/>
    <mergeCell ref="HR65:HT65"/>
    <mergeCell ref="HR37:HT37"/>
    <mergeCell ref="HD9:HJ9"/>
    <mergeCell ref="HD11:HF11"/>
    <mergeCell ref="HH15:HI15"/>
    <mergeCell ref="HD16:HD20"/>
    <mergeCell ref="HH16:HI16"/>
    <mergeCell ref="HH17:HI17"/>
    <mergeCell ref="HH18:HI18"/>
    <mergeCell ref="HH19:HI19"/>
    <mergeCell ref="HH20:HI20"/>
    <mergeCell ref="GP50:GR50"/>
    <mergeCell ref="GP53:GP57"/>
    <mergeCell ref="GP61:GR61"/>
    <mergeCell ref="GP65:GR65"/>
    <mergeCell ref="GP37:GR37"/>
    <mergeCell ref="GQ39:GT39"/>
    <mergeCell ref="GP43:GT43"/>
    <mergeCell ref="GQ45:GT45"/>
    <mergeCell ref="GP46:GP47"/>
    <mergeCell ref="GP24:GP25"/>
    <mergeCell ref="GQ24:GR24"/>
    <mergeCell ref="GQ25:GU25"/>
    <mergeCell ref="GQ29:GR29"/>
    <mergeCell ref="GP30:GP34"/>
    <mergeCell ref="GQ23:GR23"/>
    <mergeCell ref="GT23:GU23"/>
    <mergeCell ref="GB66:GD66"/>
    <mergeCell ref="GP9:GV9"/>
    <mergeCell ref="GP11:GR11"/>
    <mergeCell ref="GT15:GU15"/>
    <mergeCell ref="GP16:GP20"/>
    <mergeCell ref="GT16:GU16"/>
    <mergeCell ref="GT17:GU17"/>
    <mergeCell ref="GT18:GU18"/>
    <mergeCell ref="GT19:GU19"/>
    <mergeCell ref="GT20:GU20"/>
    <mergeCell ref="GB50:GD50"/>
    <mergeCell ref="GB53:GB57"/>
    <mergeCell ref="GB61:GD61"/>
    <mergeCell ref="GB65:GD65"/>
    <mergeCell ref="GB37:GD37"/>
    <mergeCell ref="GC39:GF39"/>
    <mergeCell ref="GB43:GF43"/>
    <mergeCell ref="GC45:GF45"/>
    <mergeCell ref="GB46:GB47"/>
    <mergeCell ref="GB24:GB25"/>
    <mergeCell ref="GC24:GD24"/>
    <mergeCell ref="GC25:GG25"/>
    <mergeCell ref="GC29:GD29"/>
    <mergeCell ref="GB30:GB34"/>
    <mergeCell ref="GC23:GD23"/>
    <mergeCell ref="GF23:GG23"/>
    <mergeCell ref="GP66:GR66"/>
    <mergeCell ref="GB9:GH9"/>
    <mergeCell ref="GB11:GD11"/>
    <mergeCell ref="GF15:GG15"/>
    <mergeCell ref="GB16:GB20"/>
    <mergeCell ref="GF16:GG16"/>
    <mergeCell ref="GF17:GG17"/>
    <mergeCell ref="GF18:GG18"/>
    <mergeCell ref="GF19:GG19"/>
    <mergeCell ref="GF20:GG20"/>
    <mergeCell ref="FN50:FP50"/>
    <mergeCell ref="FN53:FN57"/>
    <mergeCell ref="FN61:FP61"/>
    <mergeCell ref="FN65:FP65"/>
    <mergeCell ref="FN37:FP37"/>
    <mergeCell ref="FO39:FR39"/>
    <mergeCell ref="FN43:FR43"/>
    <mergeCell ref="FO45:FR45"/>
    <mergeCell ref="FN46:FN47"/>
    <mergeCell ref="FN24:FN25"/>
    <mergeCell ref="FO24:FP24"/>
    <mergeCell ref="FO25:FS25"/>
    <mergeCell ref="FO29:FP29"/>
    <mergeCell ref="FN30:FN34"/>
    <mergeCell ref="FO23:FP23"/>
    <mergeCell ref="FR23:FS23"/>
    <mergeCell ref="EZ66:FB66"/>
    <mergeCell ref="FN9:FT9"/>
    <mergeCell ref="FN11:FP11"/>
    <mergeCell ref="FR15:FS15"/>
    <mergeCell ref="FN16:FN20"/>
    <mergeCell ref="FR16:FS16"/>
    <mergeCell ref="FR17:FS17"/>
    <mergeCell ref="FR18:FS18"/>
    <mergeCell ref="FR19:FS19"/>
    <mergeCell ref="FR20:FS20"/>
    <mergeCell ref="EZ50:FB50"/>
    <mergeCell ref="EZ53:EZ57"/>
    <mergeCell ref="EZ61:FB61"/>
    <mergeCell ref="EZ65:FB65"/>
    <mergeCell ref="EZ37:FB37"/>
    <mergeCell ref="FA39:FD39"/>
    <mergeCell ref="EZ43:FD43"/>
    <mergeCell ref="FA45:FD45"/>
    <mergeCell ref="EZ46:EZ47"/>
    <mergeCell ref="EZ24:EZ25"/>
    <mergeCell ref="FA24:FB24"/>
    <mergeCell ref="FA25:FE25"/>
    <mergeCell ref="FA29:FB29"/>
    <mergeCell ref="EZ30:EZ34"/>
    <mergeCell ref="FA23:FB23"/>
    <mergeCell ref="FD23:FE23"/>
    <mergeCell ref="FN66:FP66"/>
    <mergeCell ref="EZ9:FF9"/>
    <mergeCell ref="EZ11:FB11"/>
    <mergeCell ref="FD15:FE15"/>
    <mergeCell ref="EZ16:EZ20"/>
    <mergeCell ref="FD16:FE16"/>
    <mergeCell ref="FD17:FE17"/>
    <mergeCell ref="FD18:FE18"/>
    <mergeCell ref="FD19:FE19"/>
    <mergeCell ref="FD20:FE20"/>
    <mergeCell ref="EL50:EN50"/>
    <mergeCell ref="EL53:EL57"/>
    <mergeCell ref="EL61:EN61"/>
    <mergeCell ref="EL65:EN65"/>
    <mergeCell ref="EL37:EN37"/>
    <mergeCell ref="EM39:EP39"/>
    <mergeCell ref="EL43:EP43"/>
    <mergeCell ref="EM45:EP45"/>
    <mergeCell ref="EL46:EL47"/>
    <mergeCell ref="EL24:EL25"/>
    <mergeCell ref="EM24:EN24"/>
    <mergeCell ref="EM25:EQ25"/>
    <mergeCell ref="EM29:EN29"/>
    <mergeCell ref="EL30:EL34"/>
    <mergeCell ref="EM23:EN23"/>
    <mergeCell ref="EP23:EQ23"/>
    <mergeCell ref="DX66:DZ66"/>
    <mergeCell ref="EL9:ER9"/>
    <mergeCell ref="EL11:EN11"/>
    <mergeCell ref="EP15:EQ15"/>
    <mergeCell ref="EL16:EL20"/>
    <mergeCell ref="EP16:EQ16"/>
    <mergeCell ref="EP17:EQ17"/>
    <mergeCell ref="EP18:EQ18"/>
    <mergeCell ref="EP19:EQ19"/>
    <mergeCell ref="EP20:EQ20"/>
    <mergeCell ref="DX50:DZ50"/>
    <mergeCell ref="DX53:DX57"/>
    <mergeCell ref="DX61:DZ61"/>
    <mergeCell ref="DX65:DZ65"/>
    <mergeCell ref="DX37:DZ37"/>
    <mergeCell ref="DY39:EB39"/>
    <mergeCell ref="DX43:EB43"/>
    <mergeCell ref="DY45:EB45"/>
    <mergeCell ref="DX46:DX47"/>
    <mergeCell ref="DX24:DX25"/>
    <mergeCell ref="DY24:DZ24"/>
    <mergeCell ref="DY25:EC25"/>
    <mergeCell ref="DY29:DZ29"/>
    <mergeCell ref="DX30:DX34"/>
    <mergeCell ref="DY23:DZ23"/>
    <mergeCell ref="EB23:EC23"/>
    <mergeCell ref="EL66:EN66"/>
    <mergeCell ref="DX9:ED9"/>
    <mergeCell ref="DX11:DZ11"/>
    <mergeCell ref="EB15:EC15"/>
    <mergeCell ref="DX16:DX20"/>
    <mergeCell ref="EB16:EC16"/>
    <mergeCell ref="EB17:EC17"/>
    <mergeCell ref="EB18:EC18"/>
    <mergeCell ref="EB19:EC19"/>
    <mergeCell ref="EB20:EC20"/>
    <mergeCell ref="DJ50:DL50"/>
    <mergeCell ref="DJ53:DJ57"/>
    <mergeCell ref="DJ61:DL61"/>
    <mergeCell ref="DJ65:DL65"/>
    <mergeCell ref="DJ37:DL37"/>
    <mergeCell ref="DK39:DN39"/>
    <mergeCell ref="DJ43:DN43"/>
    <mergeCell ref="DK45:DN45"/>
    <mergeCell ref="DJ46:DJ47"/>
    <mergeCell ref="DJ24:DJ25"/>
    <mergeCell ref="DK24:DL24"/>
    <mergeCell ref="DK25:DO25"/>
    <mergeCell ref="DK29:DL29"/>
    <mergeCell ref="DJ30:DJ34"/>
    <mergeCell ref="DK23:DL23"/>
    <mergeCell ref="DN23:DO23"/>
    <mergeCell ref="CV66:CX66"/>
    <mergeCell ref="CV50:CX50"/>
    <mergeCell ref="CV53:CV57"/>
    <mergeCell ref="CV61:CX61"/>
    <mergeCell ref="CV65:CX65"/>
    <mergeCell ref="CV37:CX37"/>
    <mergeCell ref="CW39:CZ39"/>
    <mergeCell ref="CV43:CZ43"/>
    <mergeCell ref="CW45:CZ45"/>
    <mergeCell ref="CV46:CV47"/>
    <mergeCell ref="CV24:CV25"/>
    <mergeCell ref="CW24:CX24"/>
    <mergeCell ref="CW25:DA25"/>
    <mergeCell ref="CW29:CX29"/>
    <mergeCell ref="CV30:CV34"/>
    <mergeCell ref="CW23:CX23"/>
    <mergeCell ref="DJ9:DP9"/>
    <mergeCell ref="DJ11:DL11"/>
    <mergeCell ref="DN15:DO15"/>
    <mergeCell ref="DJ16:DJ20"/>
    <mergeCell ref="DN16:DO16"/>
    <mergeCell ref="DN17:DO17"/>
    <mergeCell ref="DN18:DO18"/>
    <mergeCell ref="DN19:DO19"/>
    <mergeCell ref="DN20:DO20"/>
    <mergeCell ref="CZ23:DA23"/>
    <mergeCell ref="DJ66:DL66"/>
    <mergeCell ref="CV9:DB9"/>
    <mergeCell ref="CV11:CX11"/>
    <mergeCell ref="CZ15:DA15"/>
    <mergeCell ref="CV16:CV20"/>
    <mergeCell ref="CZ16:DA16"/>
    <mergeCell ref="CZ17:DA17"/>
    <mergeCell ref="CZ18:DA18"/>
    <mergeCell ref="CZ19:DA19"/>
    <mergeCell ref="CZ20:DA20"/>
    <mergeCell ref="CH50:CJ50"/>
    <mergeCell ref="CH53:CH57"/>
    <mergeCell ref="CH61:CJ61"/>
    <mergeCell ref="CH65:CJ65"/>
    <mergeCell ref="CH37:CJ37"/>
    <mergeCell ref="CI39:CL39"/>
    <mergeCell ref="CH43:CL43"/>
    <mergeCell ref="CI45:CL45"/>
    <mergeCell ref="CH46:CH47"/>
    <mergeCell ref="CH24:CH25"/>
    <mergeCell ref="CI24:CJ24"/>
    <mergeCell ref="CI25:CM25"/>
    <mergeCell ref="CI29:CJ29"/>
    <mergeCell ref="CH30:CH34"/>
    <mergeCell ref="CI23:CJ23"/>
    <mergeCell ref="CL23:CM23"/>
    <mergeCell ref="BT66:BV66"/>
    <mergeCell ref="CH9:CN9"/>
    <mergeCell ref="CH11:CJ11"/>
    <mergeCell ref="CL15:CM15"/>
    <mergeCell ref="CH16:CH20"/>
    <mergeCell ref="CL16:CM16"/>
    <mergeCell ref="CL17:CM17"/>
    <mergeCell ref="CL18:CM18"/>
    <mergeCell ref="CL19:CM19"/>
    <mergeCell ref="CL20:CM20"/>
    <mergeCell ref="BT50:BV50"/>
    <mergeCell ref="BT53:BT57"/>
    <mergeCell ref="BT61:BV61"/>
    <mergeCell ref="BT65:BV65"/>
    <mergeCell ref="BT37:BV37"/>
    <mergeCell ref="BU39:BX39"/>
    <mergeCell ref="BT43:BX43"/>
    <mergeCell ref="BU45:BX45"/>
    <mergeCell ref="BT46:BT47"/>
    <mergeCell ref="BT24:BT25"/>
    <mergeCell ref="BU24:BV24"/>
    <mergeCell ref="BU25:BY25"/>
    <mergeCell ref="BU29:BV29"/>
    <mergeCell ref="BT30:BT34"/>
    <mergeCell ref="BU23:BV23"/>
    <mergeCell ref="BX23:BY23"/>
    <mergeCell ref="CH66:CJ66"/>
    <mergeCell ref="BT9:BZ9"/>
    <mergeCell ref="BT11:BV11"/>
    <mergeCell ref="BX15:BY15"/>
    <mergeCell ref="BT16:BT20"/>
    <mergeCell ref="BX16:BY16"/>
    <mergeCell ref="BX17:BY17"/>
    <mergeCell ref="BX18:BY18"/>
    <mergeCell ref="BX19:BY19"/>
    <mergeCell ref="BX20:BY20"/>
    <mergeCell ref="BF50:BH50"/>
    <mergeCell ref="BF53:BF57"/>
    <mergeCell ref="BF61:BH61"/>
    <mergeCell ref="BF65:BH65"/>
    <mergeCell ref="BF37:BH37"/>
    <mergeCell ref="BG39:BJ39"/>
    <mergeCell ref="BF43:BJ43"/>
    <mergeCell ref="BG45:BJ45"/>
    <mergeCell ref="BF46:BF47"/>
    <mergeCell ref="BF24:BF25"/>
    <mergeCell ref="BG24:BH24"/>
    <mergeCell ref="BG25:BK25"/>
    <mergeCell ref="BG29:BH29"/>
    <mergeCell ref="BF30:BF34"/>
    <mergeCell ref="BG23:BH23"/>
    <mergeCell ref="BJ23:BK23"/>
    <mergeCell ref="AR66:AT66"/>
    <mergeCell ref="BF9:BL9"/>
    <mergeCell ref="BF11:BH11"/>
    <mergeCell ref="BJ15:BK15"/>
    <mergeCell ref="BF16:BF20"/>
    <mergeCell ref="BJ16:BK16"/>
    <mergeCell ref="BJ17:BK17"/>
    <mergeCell ref="BJ18:BK18"/>
    <mergeCell ref="BJ19:BK19"/>
    <mergeCell ref="BJ20:BK20"/>
    <mergeCell ref="AR50:AT50"/>
    <mergeCell ref="AR53:AR57"/>
    <mergeCell ref="AR61:AT61"/>
    <mergeCell ref="AR65:AT65"/>
    <mergeCell ref="AR37:AT37"/>
    <mergeCell ref="AS39:AV39"/>
    <mergeCell ref="AR43:AV43"/>
    <mergeCell ref="AS45:AV45"/>
    <mergeCell ref="AR46:AR47"/>
    <mergeCell ref="AR24:AR25"/>
    <mergeCell ref="AS24:AT24"/>
    <mergeCell ref="AS25:AW25"/>
    <mergeCell ref="AS29:AT29"/>
    <mergeCell ref="AR30:AR34"/>
    <mergeCell ref="AS23:AT23"/>
    <mergeCell ref="AV23:AW23"/>
    <mergeCell ref="BF66:BH66"/>
    <mergeCell ref="AR9:AX9"/>
    <mergeCell ref="AR11:AT11"/>
    <mergeCell ref="AV15:AW15"/>
    <mergeCell ref="AR16:AR20"/>
    <mergeCell ref="AV16:AW16"/>
    <mergeCell ref="AV17:AW17"/>
    <mergeCell ref="AV18:AW18"/>
    <mergeCell ref="AV19:AW19"/>
    <mergeCell ref="AV20:AW20"/>
    <mergeCell ref="P50:R50"/>
    <mergeCell ref="P53:P57"/>
    <mergeCell ref="P61:R61"/>
    <mergeCell ref="P65:R65"/>
    <mergeCell ref="P37:R37"/>
    <mergeCell ref="Q39:T39"/>
    <mergeCell ref="P43:T43"/>
    <mergeCell ref="Q45:T45"/>
    <mergeCell ref="P46:P47"/>
    <mergeCell ref="P24:P25"/>
    <mergeCell ref="Q24:R24"/>
    <mergeCell ref="Q25:U25"/>
    <mergeCell ref="Q29:R29"/>
    <mergeCell ref="P30:P34"/>
    <mergeCell ref="Q23:R23"/>
    <mergeCell ref="T23:U23"/>
    <mergeCell ref="AD16:AD20"/>
    <mergeCell ref="AH16:AI16"/>
    <mergeCell ref="AH17:AI17"/>
    <mergeCell ref="AH18:AI18"/>
    <mergeCell ref="AH19:AI19"/>
    <mergeCell ref="AH20:AI20"/>
    <mergeCell ref="P9:V9"/>
    <mergeCell ref="P11:R11"/>
    <mergeCell ref="T15:U15"/>
    <mergeCell ref="P16:P20"/>
    <mergeCell ref="T16:U16"/>
    <mergeCell ref="T17:U17"/>
    <mergeCell ref="AD9:AJ9"/>
    <mergeCell ref="B9:H9"/>
    <mergeCell ref="B11:D11"/>
    <mergeCell ref="F15:G15"/>
    <mergeCell ref="B16:B20"/>
    <mergeCell ref="F16:G16"/>
    <mergeCell ref="F17:G17"/>
    <mergeCell ref="F18:G18"/>
    <mergeCell ref="F19:G19"/>
    <mergeCell ref="F20:G20"/>
    <mergeCell ref="T18:U18"/>
    <mergeCell ref="T19:U19"/>
    <mergeCell ref="T20:U20"/>
    <mergeCell ref="AD11:AF11"/>
    <mergeCell ref="AH15:AI15"/>
    <mergeCell ref="P66:R66"/>
    <mergeCell ref="B66:D66"/>
    <mergeCell ref="B50:D50"/>
    <mergeCell ref="B53:B57"/>
    <mergeCell ref="B61:D61"/>
    <mergeCell ref="B65:D65"/>
    <mergeCell ref="B37:D37"/>
    <mergeCell ref="C39:F39"/>
    <mergeCell ref="B43:F43"/>
    <mergeCell ref="C45:F45"/>
    <mergeCell ref="B46:B47"/>
    <mergeCell ref="B24:B25"/>
    <mergeCell ref="C24:D24"/>
    <mergeCell ref="C25:G25"/>
    <mergeCell ref="C29:D29"/>
    <mergeCell ref="B30:B34"/>
    <mergeCell ref="C23:D23"/>
    <mergeCell ref="F23:G23"/>
  </mergeCells>
  <hyperlinks>
    <hyperlink ref="P1" location="'Hoja índice'!A1" display="Indice"/>
    <hyperlink ref="SZ1" location="'Hoja índice'!A1" display="Indice"/>
    <hyperlink ref="AD1" location="'Hoja índice'!A1" display="Indice"/>
    <hyperlink ref="B1" location="'Hoja índice'!A1" display="Indice"/>
    <hyperlink ref="AR1" location="'Hoja índice'!A1" display="Indice"/>
    <hyperlink ref="BF1" location="'Hoja índice'!A1" display="Indice"/>
    <hyperlink ref="BT1" location="'Hoja índice'!A1" display="Indice"/>
    <hyperlink ref="CH1" location="'Hoja índice'!A1" display="Indice"/>
    <hyperlink ref="CV1" location="'Hoja índice'!A1" display="Indice"/>
    <hyperlink ref="DJ1" location="'Hoja índice'!A1" display="Indice"/>
    <hyperlink ref="DX1" location="'Hoja índice'!A1" display="Indice"/>
    <hyperlink ref="EL1" location="'Hoja índice'!A1" display="Indice"/>
    <hyperlink ref="EZ1" location="'Hoja índice'!A1" display="Indice"/>
    <hyperlink ref="FN1" location="'Hoja índice'!A1" display="Indice"/>
    <hyperlink ref="GB1" location="'Hoja índice'!A1" display="Indice"/>
    <hyperlink ref="GP1" location="'Hoja índice'!A1" display="Indice"/>
    <hyperlink ref="HD1" location="'Hoja índice'!A1" display="Indice"/>
    <hyperlink ref="HR1" location="'Hoja índice'!A1" display="Indice"/>
    <hyperlink ref="IF1" location="'Hoja índice'!A1" display="Indice"/>
    <hyperlink ref="IT1" location="'Hoja índice'!A1" display="Indice"/>
    <hyperlink ref="JV1" location="'Hoja índice'!A1" display="Indice"/>
    <hyperlink ref="KJ1" location="'Hoja índice'!A1" display="Indice"/>
    <hyperlink ref="KX1" location="'Hoja índice'!A1" display="Indice"/>
    <hyperlink ref="LL1" location="'Hoja índice'!A1" display="Indice"/>
    <hyperlink ref="LZ1" location="'Hoja índice'!A1" display="Indice"/>
    <hyperlink ref="MN1" location="'Hoja índice'!A1" display="Indice"/>
    <hyperlink ref="NB1" location="'Hoja índice'!A1" display="Indice"/>
    <hyperlink ref="NP1" location="'Hoja índice'!A1" display="Indice"/>
    <hyperlink ref="OD1" location="'Hoja índice'!A1" display="Indice"/>
    <hyperlink ref="OR1" location="'Hoja índice'!A1" display="Indice"/>
    <hyperlink ref="PF1" location="'Hoja índice'!A1" display="Indice"/>
    <hyperlink ref="PT1" location="'Hoja índice'!A1" display="Indice"/>
    <hyperlink ref="QH1" location="'Hoja índice'!A1" display="Indice"/>
    <hyperlink ref="QV1" location="'Hoja índice'!A1" display="Indice"/>
    <hyperlink ref="RJ1" location="'Hoja índice'!A1" display="Indice"/>
    <hyperlink ref="RX1" location="'Hoja índice'!A1" display="Indice"/>
    <hyperlink ref="SL1" location="'Hoja índice'!A1" display="Indice"/>
    <hyperlink ref="JH1" location="'Hoja índice'!A1" display="Indice"/>
  </hyperlinks>
  <printOptions horizontalCentered="1" verticalCentered="1"/>
  <pageMargins left="0.23622047244094491" right="0.23622047244094491" top="0.31496062992125984" bottom="0.27559055118110237" header="0.31496062992125984" footer="0.31496062992125984"/>
  <pageSetup scale="36" orientation="landscape" r:id="rId1"/>
  <rowBreaks count="1" manualBreakCount="1">
    <brk id="28" max="16383" man="1"/>
  </rowBreaks>
  <ignoredErrors>
    <ignoredError sqref="TF17:TF21" evalError="1"/>
  </ignoredErrors>
  <drawing r:id="rId2"/>
</worksheet>
</file>

<file path=xl/worksheets/sheet7.xml><?xml version="1.0" encoding="utf-8"?>
<worksheet xmlns="http://schemas.openxmlformats.org/spreadsheetml/2006/main" xmlns:r="http://schemas.openxmlformats.org/officeDocument/2006/relationships">
  <sheetPr codeName="Hoja4">
    <tabColor theme="4"/>
    <outlinePr summaryRight="0"/>
  </sheetPr>
  <dimension ref="B1:P144"/>
  <sheetViews>
    <sheetView showGridLines="0" zoomScale="70" zoomScaleNormal="70" zoomScaleSheetLayoutView="70" workbookViewId="0">
      <selection activeCell="B1" sqref="B1"/>
    </sheetView>
  </sheetViews>
  <sheetFormatPr baseColWidth="10" defaultRowHeight="15.75" customHeight="1" outlineLevelRow="1"/>
  <cols>
    <col min="1" max="1" width="2.85546875" style="105" customWidth="1"/>
    <col min="2" max="2" width="23.140625" style="105" customWidth="1"/>
    <col min="3" max="3" width="42.140625" style="105" bestFit="1" customWidth="1"/>
    <col min="4" max="4" width="16.5703125" style="105" bestFit="1" customWidth="1"/>
    <col min="5" max="5" width="17.42578125" style="105" bestFit="1" customWidth="1"/>
    <col min="6" max="6" width="15.140625" style="105" bestFit="1" customWidth="1"/>
    <col min="7" max="7" width="14.5703125" style="105" customWidth="1"/>
    <col min="8" max="8" width="23.42578125" style="105" customWidth="1"/>
    <col min="9" max="9" width="2.7109375" style="120" hidden="1" customWidth="1"/>
    <col min="10" max="12" width="11.42578125" style="105" hidden="1" customWidth="1"/>
    <col min="13" max="14" width="11.42578125" style="105" customWidth="1"/>
    <col min="15" max="15" width="22" style="105" bestFit="1" customWidth="1"/>
    <col min="16" max="16" width="20" style="105" bestFit="1" customWidth="1"/>
    <col min="17" max="16384" width="11.42578125" style="105"/>
  </cols>
  <sheetData>
    <row r="1" spans="2:15" s="104" customFormat="1" ht="15.75" customHeight="1" thickBot="1">
      <c r="B1" s="4" t="s">
        <v>2343</v>
      </c>
      <c r="I1" s="105"/>
    </row>
    <row r="2" spans="2:15" s="104" customFormat="1" ht="15.75" customHeight="1">
      <c r="B2" s="420"/>
      <c r="C2" s="421"/>
      <c r="D2" s="421"/>
      <c r="E2" s="421"/>
      <c r="F2" s="422"/>
      <c r="G2" s="422"/>
      <c r="H2" s="423"/>
      <c r="I2" s="105"/>
    </row>
    <row r="3" spans="2:15" s="104" customFormat="1" ht="15.75" customHeight="1">
      <c r="B3" s="424"/>
      <c r="C3" s="106"/>
      <c r="D3" s="106"/>
      <c r="E3" s="106"/>
      <c r="F3" s="107"/>
      <c r="G3" s="107"/>
      <c r="H3" s="425"/>
      <c r="I3" s="105"/>
    </row>
    <row r="4" spans="2:15" s="104" customFormat="1" ht="15.75" customHeight="1">
      <c r="B4" s="424"/>
      <c r="C4" s="106"/>
      <c r="D4" s="106"/>
      <c r="E4" s="106"/>
      <c r="F4" s="107"/>
      <c r="G4" s="107"/>
      <c r="H4" s="425"/>
      <c r="I4" s="105"/>
    </row>
    <row r="5" spans="2:15" s="104" customFormat="1" ht="15.75" customHeight="1">
      <c r="B5" s="424"/>
      <c r="C5" s="106"/>
      <c r="D5" s="106"/>
      <c r="E5" s="106"/>
      <c r="H5" s="426"/>
      <c r="I5" s="105"/>
    </row>
    <row r="6" spans="2:15" s="104" customFormat="1" ht="15.75" customHeight="1">
      <c r="B6" s="424"/>
      <c r="C6" s="106"/>
      <c r="D6" s="106"/>
      <c r="E6" s="106"/>
      <c r="H6" s="426"/>
      <c r="I6" s="105"/>
      <c r="O6"/>
    </row>
    <row r="7" spans="2:15" s="104" customFormat="1" ht="15.75" customHeight="1" thickBot="1">
      <c r="B7" s="427"/>
      <c r="C7" s="428"/>
      <c r="D7" s="428"/>
      <c r="E7" s="428"/>
      <c r="F7" s="429"/>
      <c r="G7" s="429"/>
      <c r="H7" s="430"/>
      <c r="I7" s="105"/>
    </row>
    <row r="8" spans="2:15" ht="4.5" customHeight="1" thickBot="1">
      <c r="B8" s="108"/>
      <c r="C8" s="108"/>
      <c r="I8" s="105"/>
    </row>
    <row r="9" spans="2:15" ht="21.75" customHeight="1" thickBot="1">
      <c r="B9" s="1224" t="s">
        <v>1215</v>
      </c>
      <c r="C9" s="1225"/>
      <c r="D9" s="1225"/>
      <c r="E9" s="1225"/>
      <c r="F9" s="1225"/>
      <c r="G9" s="1225"/>
      <c r="H9" s="1226"/>
      <c r="I9" s="105"/>
    </row>
    <row r="10" spans="2:15" ht="11.25" customHeight="1" thickBot="1">
      <c r="I10" s="105"/>
    </row>
    <row r="11" spans="2:15" ht="16.5" customHeight="1" thickBot="1">
      <c r="B11" s="1227" t="s">
        <v>1217</v>
      </c>
      <c r="C11" s="1228"/>
      <c r="D11" s="1229"/>
      <c r="E11" s="479">
        <f>+'Parametros Generales'!C6</f>
        <v>5</v>
      </c>
    </row>
    <row r="12" spans="2:15" ht="10.5" customHeight="1" thickBot="1"/>
    <row r="13" spans="2:15" ht="46.5" customHeight="1" thickBot="1">
      <c r="B13" s="109" t="s">
        <v>1232</v>
      </c>
      <c r="C13" s="291" t="s">
        <v>1233</v>
      </c>
      <c r="D13" s="291" t="s">
        <v>24</v>
      </c>
      <c r="E13" s="291" t="s">
        <v>1234</v>
      </c>
      <c r="F13" s="1230" t="s">
        <v>1216</v>
      </c>
      <c r="G13" s="1231"/>
      <c r="H13" s="133" t="s">
        <v>2414</v>
      </c>
      <c r="I13" s="122"/>
    </row>
    <row r="14" spans="2:15" ht="15.75" hidden="1" customHeight="1" outlineLevel="1">
      <c r="B14" s="1253" t="s">
        <v>2329</v>
      </c>
      <c r="C14" s="503" t="str">
        <f>+'Componentes T.H.'!B6</f>
        <v xml:space="preserve">Coordinador General </v>
      </c>
      <c r="D14" s="504">
        <f>+'Componentes T.H.'!U6</f>
        <v>22.999999999999993</v>
      </c>
      <c r="E14" s="505">
        <f>+'Componentes T.H.'!T6</f>
        <v>1</v>
      </c>
      <c r="F14" s="1235">
        <f>+'Componentes T.H.'!Q6</f>
        <v>2931352.8275333336</v>
      </c>
      <c r="G14" s="1236"/>
      <c r="H14" s="431">
        <f t="shared" ref="H14:H29" si="0">+D14*E14*F14*$E$11</f>
        <v>337105575.16633326</v>
      </c>
      <c r="I14" s="123"/>
      <c r="J14" s="124"/>
      <c r="K14" s="124"/>
      <c r="L14" s="124"/>
    </row>
    <row r="15" spans="2:15" ht="15.75" hidden="1" customHeight="1" outlineLevel="1">
      <c r="B15" s="1233"/>
      <c r="C15" s="289" t="str">
        <f>+'Componentes T.H.'!B7</f>
        <v xml:space="preserve">Coordinador de Garantia de Derechos </v>
      </c>
      <c r="D15" s="125">
        <f>+'Componentes T.H.'!U7</f>
        <v>22.999999999999993</v>
      </c>
      <c r="E15" s="110">
        <f>+'Componentes T.H.'!T7</f>
        <v>1</v>
      </c>
      <c r="F15" s="1237">
        <f>+'Componentes T.H.'!Q7</f>
        <v>2208763.1318000001</v>
      </c>
      <c r="G15" s="1238"/>
      <c r="H15" s="432">
        <f t="shared" si="0"/>
        <v>254007760.15699995</v>
      </c>
      <c r="I15" s="123"/>
      <c r="J15" s="124"/>
      <c r="K15" s="124"/>
      <c r="L15" s="124"/>
    </row>
    <row r="16" spans="2:15" ht="15.75" hidden="1" customHeight="1" outlineLevel="1">
      <c r="B16" s="1233"/>
      <c r="C16" s="289" t="str">
        <f>+'Componentes T.H.'!B8</f>
        <v>Coordinador Metodológico</v>
      </c>
      <c r="D16" s="125">
        <f>+'Componentes T.H.'!U8</f>
        <v>219.25</v>
      </c>
      <c r="E16" s="110">
        <f>+'Componentes T.H.'!T8</f>
        <v>1</v>
      </c>
      <c r="F16" s="1237">
        <f>+'Componentes T.H.'!Q8</f>
        <v>1998209.5068666667</v>
      </c>
      <c r="G16" s="1238"/>
      <c r="H16" s="432">
        <f t="shared" si="0"/>
        <v>2190537171.9025836</v>
      </c>
      <c r="I16" s="123"/>
      <c r="J16" s="124"/>
      <c r="K16" s="124"/>
      <c r="L16" s="124"/>
    </row>
    <row r="17" spans="2:12" ht="15.75" hidden="1" customHeight="1" outlineLevel="1">
      <c r="B17" s="1233"/>
      <c r="C17" s="290" t="str">
        <f>+'Componentes T.H.'!B9</f>
        <v xml:space="preserve">Promotor de Derechos </v>
      </c>
      <c r="D17" s="125">
        <f>+'Componentes T.H.'!U9</f>
        <v>1754</v>
      </c>
      <c r="E17" s="110">
        <f>+'Componentes T.H.'!T9</f>
        <v>1</v>
      </c>
      <c r="F17" s="1237">
        <f>+'Componentes T.H.'!Q9</f>
        <v>1003701.4142</v>
      </c>
      <c r="G17" s="1238"/>
      <c r="H17" s="432">
        <f t="shared" si="0"/>
        <v>8802461402.5340004</v>
      </c>
      <c r="I17" s="123"/>
      <c r="J17" s="124"/>
      <c r="K17" s="124"/>
      <c r="L17" s="124"/>
    </row>
    <row r="18" spans="2:12" ht="15.75" hidden="1" customHeight="1" outlineLevel="1">
      <c r="B18" s="1233"/>
      <c r="C18" s="289" t="str">
        <f>+'Componentes T.H.'!B10</f>
        <v xml:space="preserve">Gestor Administrativo </v>
      </c>
      <c r="D18" s="125">
        <f>+'Componentes T.H.'!U10</f>
        <v>22.999999999999993</v>
      </c>
      <c r="E18" s="110">
        <f>+'Componentes T.H.'!T10</f>
        <v>1</v>
      </c>
      <c r="F18" s="1237">
        <f>+'Componentes T.H.'!Q10</f>
        <v>978086.40000000002</v>
      </c>
      <c r="G18" s="1238"/>
      <c r="H18" s="432">
        <f t="shared" si="0"/>
        <v>112479935.99999996</v>
      </c>
      <c r="I18" s="123"/>
      <c r="J18" s="124"/>
      <c r="K18" s="124"/>
      <c r="L18" s="124"/>
    </row>
    <row r="19" spans="2:12" ht="15.75" hidden="1" customHeight="1" outlineLevel="1">
      <c r="B19" s="1233"/>
      <c r="C19" s="289">
        <f>+'Componentes T.H.'!B11</f>
        <v>0</v>
      </c>
      <c r="D19" s="125">
        <f>+'Componentes T.H.'!U11</f>
        <v>0</v>
      </c>
      <c r="E19" s="110">
        <f>+'Componentes T.H.'!T11</f>
        <v>0</v>
      </c>
      <c r="F19" s="1237">
        <f>+'Componentes T.H.'!Q11</f>
        <v>0</v>
      </c>
      <c r="G19" s="1238"/>
      <c r="H19" s="432">
        <f t="shared" si="0"/>
        <v>0</v>
      </c>
      <c r="I19" s="123"/>
      <c r="J19" s="124"/>
      <c r="K19" s="124"/>
      <c r="L19" s="124"/>
    </row>
    <row r="20" spans="2:12" ht="15.75" hidden="1" customHeight="1" outlineLevel="1">
      <c r="B20" s="1233"/>
      <c r="C20" s="288">
        <f>+'Componentes T.H.'!B12</f>
        <v>0</v>
      </c>
      <c r="D20" s="126">
        <f>+'Componentes T.H.'!U12</f>
        <v>0</v>
      </c>
      <c r="E20" s="127">
        <f>+'Componentes T.H.'!T12</f>
        <v>0</v>
      </c>
      <c r="F20" s="1237">
        <f>+'Componentes T.H.'!Q12</f>
        <v>0</v>
      </c>
      <c r="G20" s="1238"/>
      <c r="H20" s="432">
        <f t="shared" si="0"/>
        <v>0</v>
      </c>
      <c r="I20" s="123"/>
      <c r="J20" s="124"/>
      <c r="K20" s="124"/>
      <c r="L20" s="124"/>
    </row>
    <row r="21" spans="2:12" ht="15.75" hidden="1" customHeight="1" outlineLevel="1">
      <c r="B21" s="1233"/>
      <c r="C21" s="289">
        <f>+'Componentes T.H.'!B13</f>
        <v>0</v>
      </c>
      <c r="D21" s="126">
        <f>+'Componentes T.H.'!U13</f>
        <v>0</v>
      </c>
      <c r="E21" s="127">
        <f>+'Componentes T.H.'!T13</f>
        <v>0</v>
      </c>
      <c r="F21" s="1237">
        <f>+'Componentes T.H.'!Q13</f>
        <v>0</v>
      </c>
      <c r="G21" s="1238"/>
      <c r="H21" s="432">
        <f t="shared" si="0"/>
        <v>0</v>
      </c>
      <c r="I21" s="123"/>
      <c r="J21" s="124"/>
      <c r="K21" s="124"/>
      <c r="L21" s="124"/>
    </row>
    <row r="22" spans="2:12" ht="15.75" hidden="1" customHeight="1" outlineLevel="1">
      <c r="B22" s="1233"/>
      <c r="C22" s="289">
        <f>+'Componentes T.H.'!B14</f>
        <v>0</v>
      </c>
      <c r="D22" s="126">
        <f>+'Componentes T.H.'!U14</f>
        <v>0</v>
      </c>
      <c r="E22" s="127">
        <f>+'Componentes T.H.'!T14</f>
        <v>0</v>
      </c>
      <c r="F22" s="1237">
        <f>+'Componentes T.H.'!Q14</f>
        <v>0</v>
      </c>
      <c r="G22" s="1238"/>
      <c r="H22" s="432">
        <f t="shared" si="0"/>
        <v>0</v>
      </c>
      <c r="I22" s="123"/>
      <c r="J22" s="124"/>
      <c r="K22" s="124"/>
      <c r="L22" s="124"/>
    </row>
    <row r="23" spans="2:12" ht="15.75" hidden="1" customHeight="1" outlineLevel="1">
      <c r="B23" s="1233"/>
      <c r="C23" s="290">
        <f>+'Componentes T.H.'!B15</f>
        <v>0</v>
      </c>
      <c r="D23" s="126">
        <f>+'Componentes T.H.'!U15</f>
        <v>0</v>
      </c>
      <c r="E23" s="127">
        <f>+'Componentes T.H.'!T15</f>
        <v>0</v>
      </c>
      <c r="F23" s="1237">
        <f>+'Componentes T.H.'!Q15</f>
        <v>0</v>
      </c>
      <c r="G23" s="1238"/>
      <c r="H23" s="432">
        <f t="shared" si="0"/>
        <v>0</v>
      </c>
      <c r="I23" s="123"/>
      <c r="J23" s="124"/>
      <c r="K23" s="124"/>
      <c r="L23" s="124"/>
    </row>
    <row r="24" spans="2:12" ht="15.75" hidden="1" customHeight="1" outlineLevel="1">
      <c r="B24" s="1233"/>
      <c r="C24" s="289">
        <f>+'Componentes T.H.'!B16</f>
        <v>0</v>
      </c>
      <c r="D24" s="126">
        <f>+'Componentes T.H.'!U16</f>
        <v>0</v>
      </c>
      <c r="E24" s="127">
        <f>+'Componentes T.H.'!T16</f>
        <v>0</v>
      </c>
      <c r="F24" s="1237">
        <f>+'Componentes T.H.'!Q16</f>
        <v>0</v>
      </c>
      <c r="G24" s="1238"/>
      <c r="H24" s="432">
        <f t="shared" si="0"/>
        <v>0</v>
      </c>
      <c r="I24" s="123"/>
      <c r="J24" s="124"/>
      <c r="K24" s="124"/>
      <c r="L24" s="124"/>
    </row>
    <row r="25" spans="2:12" ht="15.75" hidden="1" customHeight="1" outlineLevel="1">
      <c r="B25" s="1233"/>
      <c r="C25" s="289">
        <f>+'Componentes T.H.'!B17</f>
        <v>0</v>
      </c>
      <c r="D25" s="126">
        <f>+'Componentes T.H.'!U17</f>
        <v>0</v>
      </c>
      <c r="E25" s="127">
        <f>+'Componentes T.H.'!T17</f>
        <v>0</v>
      </c>
      <c r="F25" s="1237">
        <f>+'Componentes T.H.'!Q17</f>
        <v>0</v>
      </c>
      <c r="G25" s="1238"/>
      <c r="H25" s="432">
        <f t="shared" si="0"/>
        <v>0</v>
      </c>
      <c r="I25" s="123"/>
      <c r="J25" s="124"/>
      <c r="K25" s="124"/>
      <c r="L25" s="124"/>
    </row>
    <row r="26" spans="2:12" ht="15.75" hidden="1" customHeight="1" outlineLevel="1">
      <c r="B26" s="1233"/>
      <c r="C26" s="288">
        <f>+'Componentes T.H.'!B18</f>
        <v>0</v>
      </c>
      <c r="D26" s="126">
        <f>+'Componentes T.H.'!U18</f>
        <v>0</v>
      </c>
      <c r="E26" s="127">
        <f>+'Componentes T.H.'!T18</f>
        <v>0</v>
      </c>
      <c r="F26" s="1237">
        <f>+'Componentes T.H.'!Q18</f>
        <v>0</v>
      </c>
      <c r="G26" s="1238"/>
      <c r="H26" s="432">
        <f t="shared" si="0"/>
        <v>0</v>
      </c>
      <c r="I26" s="123"/>
      <c r="J26" s="124"/>
      <c r="K26" s="124"/>
      <c r="L26" s="124"/>
    </row>
    <row r="27" spans="2:12" ht="15.75" hidden="1" customHeight="1" outlineLevel="1">
      <c r="B27" s="1233"/>
      <c r="C27" s="288">
        <f>+'Componentes T.H.'!B19</f>
        <v>0</v>
      </c>
      <c r="D27" s="126">
        <f>+'Componentes T.H.'!U19</f>
        <v>0</v>
      </c>
      <c r="E27" s="127">
        <f>+'Componentes T.H.'!T19</f>
        <v>0</v>
      </c>
      <c r="F27" s="1237">
        <f>+'Componentes T.H.'!Q19</f>
        <v>0</v>
      </c>
      <c r="G27" s="1238"/>
      <c r="H27" s="432">
        <f t="shared" si="0"/>
        <v>0</v>
      </c>
      <c r="I27" s="123"/>
      <c r="J27" s="124"/>
      <c r="K27" s="124"/>
      <c r="L27" s="124"/>
    </row>
    <row r="28" spans="2:12" ht="15.75" hidden="1" customHeight="1" outlineLevel="1">
      <c r="B28" s="1233"/>
      <c r="C28" s="288">
        <f>+'Componentes T.H.'!B20</f>
        <v>0</v>
      </c>
      <c r="D28" s="126">
        <f>+'Componentes T.H.'!U20</f>
        <v>0</v>
      </c>
      <c r="E28" s="127">
        <f>+'Componentes T.H.'!T20</f>
        <v>0</v>
      </c>
      <c r="F28" s="1237">
        <f>+'Componentes T.H.'!Q20</f>
        <v>0</v>
      </c>
      <c r="G28" s="1238"/>
      <c r="H28" s="432">
        <f t="shared" si="0"/>
        <v>0</v>
      </c>
      <c r="I28" s="123"/>
      <c r="J28" s="124"/>
      <c r="K28" s="124"/>
      <c r="L28" s="124"/>
    </row>
    <row r="29" spans="2:12" ht="15.75" hidden="1" customHeight="1" outlineLevel="1" thickBot="1">
      <c r="B29" s="1234"/>
      <c r="C29" s="506">
        <f>+'Componentes T.H.'!B21</f>
        <v>0</v>
      </c>
      <c r="D29" s="507">
        <f>+'Componentes T.H.'!U21</f>
        <v>0</v>
      </c>
      <c r="E29" s="508">
        <f>+'Componentes T.H.'!T21</f>
        <v>0</v>
      </c>
      <c r="F29" s="1243">
        <f>+'Componentes T.H.'!Q21</f>
        <v>0</v>
      </c>
      <c r="G29" s="1241"/>
      <c r="H29" s="433">
        <f t="shared" si="0"/>
        <v>0</v>
      </c>
      <c r="I29" s="123"/>
      <c r="J29" s="124"/>
      <c r="K29" s="124"/>
      <c r="L29" s="124"/>
    </row>
    <row r="30" spans="2:12" ht="15.75" customHeight="1" collapsed="1" thickBot="1">
      <c r="B30" s="502" t="s">
        <v>2327</v>
      </c>
      <c r="C30" s="130"/>
      <c r="D30" s="130"/>
      <c r="E30" s="130"/>
      <c r="F30" s="130"/>
      <c r="G30" s="130"/>
      <c r="H30" s="458">
        <f>+SUM(H14:H29)</f>
        <v>11696591845.759918</v>
      </c>
      <c r="I30" s="131"/>
      <c r="J30" s="124"/>
      <c r="K30" s="124"/>
      <c r="L30" s="124"/>
    </row>
    <row r="31" spans="2:12" ht="15" thickBot="1"/>
    <row r="32" spans="2:12" ht="30.75" thickBot="1">
      <c r="B32" s="109" t="s">
        <v>1232</v>
      </c>
      <c r="C32" s="1220" t="s">
        <v>1219</v>
      </c>
      <c r="D32" s="1223"/>
      <c r="E32" s="133" t="s">
        <v>1330</v>
      </c>
      <c r="F32" s="1220" t="s">
        <v>1366</v>
      </c>
      <c r="G32" s="1223"/>
      <c r="H32" s="133" t="s">
        <v>1229</v>
      </c>
      <c r="I32" s="122"/>
    </row>
    <row r="33" spans="2:15" ht="18" customHeight="1" collapsed="1" thickBot="1">
      <c r="B33" s="1213" t="s">
        <v>1322</v>
      </c>
      <c r="C33" s="1215" t="s">
        <v>1329</v>
      </c>
      <c r="D33" s="1216"/>
      <c r="E33" s="452">
        <f>+SUM(E34:E67)</f>
        <v>1754</v>
      </c>
      <c r="F33" s="449"/>
      <c r="G33" s="450"/>
      <c r="H33" s="451">
        <f>+SUM(H34:H67)</f>
        <v>1309779539.1208665</v>
      </c>
      <c r="I33" s="123"/>
      <c r="O33" s="437"/>
    </row>
    <row r="34" spans="2:15" ht="18" hidden="1" customHeight="1" outlineLevel="1">
      <c r="B34" s="1222"/>
      <c r="C34" s="443" t="s">
        <v>1323</v>
      </c>
      <c r="D34" s="287"/>
      <c r="E34" s="441">
        <f>+'Cost x Depart'!R2</f>
        <v>156</v>
      </c>
      <c r="F34" s="438"/>
      <c r="G34" s="447">
        <f t="shared" ref="G34:G67" si="1">+H34/E34/$E$11</f>
        <v>225032.62831462952</v>
      </c>
      <c r="H34" s="435">
        <f>'Cost x Depart'!$X$2</f>
        <v>175525450.08541101</v>
      </c>
      <c r="I34" s="123"/>
    </row>
    <row r="35" spans="2:15" ht="18" hidden="1" customHeight="1" outlineLevel="1">
      <c r="B35" s="1222"/>
      <c r="C35" s="443" t="s">
        <v>1324</v>
      </c>
      <c r="D35" s="287"/>
      <c r="E35" s="441">
        <f>'Cost x Depart'!$R$103</f>
        <v>36</v>
      </c>
      <c r="F35" s="438"/>
      <c r="G35" s="447">
        <f t="shared" si="1"/>
        <v>225032.62831462984</v>
      </c>
      <c r="H35" s="435">
        <f>'Cost x Depart'!$X$103</f>
        <v>40505873.096633375</v>
      </c>
      <c r="I35" s="123"/>
    </row>
    <row r="36" spans="2:15" ht="18" hidden="1" customHeight="1" outlineLevel="1">
      <c r="B36" s="1222"/>
      <c r="C36" s="443" t="s">
        <v>805</v>
      </c>
      <c r="D36" s="287"/>
      <c r="E36" s="441">
        <f>'Cost x Depart'!$R$144</f>
        <v>56</v>
      </c>
      <c r="F36" s="438"/>
      <c r="G36" s="447">
        <f t="shared" si="1"/>
        <v>155687.69096810225</v>
      </c>
      <c r="H36" s="435">
        <f>'Cost x Depart'!$X$144</f>
        <v>43592553.471068628</v>
      </c>
      <c r="I36" s="123"/>
    </row>
    <row r="37" spans="2:15" ht="18" hidden="1" customHeight="1" outlineLevel="1">
      <c r="B37" s="1222"/>
      <c r="C37" s="443" t="s">
        <v>663</v>
      </c>
      <c r="D37" s="287"/>
      <c r="E37" s="441">
        <f>'Cost x Depart'!$R$185</f>
        <v>81</v>
      </c>
      <c r="F37" s="438"/>
      <c r="G37" s="447">
        <f t="shared" si="1"/>
        <v>155687.69096810225</v>
      </c>
      <c r="H37" s="435">
        <f>'Cost x Depart'!$X$185</f>
        <v>63053514.842081405</v>
      </c>
      <c r="I37" s="123"/>
    </row>
    <row r="38" spans="2:15" ht="18" hidden="1" customHeight="1" outlineLevel="1">
      <c r="B38" s="1222"/>
      <c r="C38" s="443" t="s">
        <v>822</v>
      </c>
      <c r="D38" s="287"/>
      <c r="E38" s="441">
        <f>'Cost x Depart'!$R$238</f>
        <v>70</v>
      </c>
      <c r="F38" s="438"/>
      <c r="G38" s="447">
        <f t="shared" si="1"/>
        <v>113754.61660993139</v>
      </c>
      <c r="H38" s="435">
        <f>'Cost x Depart'!$X$238</f>
        <v>39814115.813475989</v>
      </c>
      <c r="I38" s="123"/>
    </row>
    <row r="39" spans="2:15" ht="18" hidden="1" customHeight="1" outlineLevel="1">
      <c r="B39" s="1222"/>
      <c r="C39" s="443" t="s">
        <v>831</v>
      </c>
      <c r="D39" s="287"/>
      <c r="E39" s="441">
        <f>'Cost x Depart'!$R$317</f>
        <v>71</v>
      </c>
      <c r="F39" s="438"/>
      <c r="G39" s="447">
        <f t="shared" si="1"/>
        <v>68222.004687632987</v>
      </c>
      <c r="H39" s="435">
        <f>'Cost x Depart'!$X$317</f>
        <v>24218811.664109707</v>
      </c>
      <c r="I39" s="123"/>
    </row>
    <row r="40" spans="2:15" ht="18" hidden="1" customHeight="1" outlineLevel="1">
      <c r="B40" s="1222"/>
      <c r="C40" s="443" t="s">
        <v>912</v>
      </c>
      <c r="D40" s="287"/>
      <c r="E40" s="441">
        <f>'Cost x Depart'!$R$358</f>
        <v>38</v>
      </c>
      <c r="F40" s="438"/>
      <c r="G40" s="447">
        <f t="shared" si="1"/>
        <v>119384.66254356697</v>
      </c>
      <c r="H40" s="435">
        <f>'Cost x Depart'!$X$358</f>
        <v>22683085.883277725</v>
      </c>
      <c r="I40" s="123"/>
    </row>
    <row r="41" spans="2:15" ht="18" hidden="1" customHeight="1" outlineLevel="1">
      <c r="B41" s="1222"/>
      <c r="C41" s="443" t="s">
        <v>916</v>
      </c>
      <c r="D41" s="287"/>
      <c r="E41" s="441">
        <f>'Cost x Depart'!$R$379</f>
        <v>76</v>
      </c>
      <c r="F41" s="438"/>
      <c r="G41" s="447">
        <f t="shared" si="1"/>
        <v>204650.63142373582</v>
      </c>
      <c r="H41" s="435">
        <f>'Cost x Depart'!$X$379</f>
        <v>77767239.94101961</v>
      </c>
      <c r="I41" s="123"/>
    </row>
    <row r="42" spans="2:15" ht="18" hidden="1" customHeight="1" outlineLevel="1">
      <c r="B42" s="1222"/>
      <c r="C42" s="443" t="s">
        <v>925</v>
      </c>
      <c r="D42" s="287"/>
      <c r="E42" s="441">
        <f>'Cost x Depart'!$R$430</f>
        <v>55</v>
      </c>
      <c r="F42" s="438"/>
      <c r="G42" s="447">
        <f t="shared" si="1"/>
        <v>155687.69096810222</v>
      </c>
      <c r="H42" s="435">
        <f>'Cost x Depart'!$X$430</f>
        <v>42814115.01622811</v>
      </c>
      <c r="I42" s="123"/>
    </row>
    <row r="43" spans="2:15" ht="18" hidden="1" customHeight="1" outlineLevel="1">
      <c r="B43" s="1222"/>
      <c r="C43" s="443" t="s">
        <v>564</v>
      </c>
      <c r="D43" s="287"/>
      <c r="E43" s="441">
        <f>'Cost x Depart'!$R$464</f>
        <v>79</v>
      </c>
      <c r="F43" s="438"/>
      <c r="G43" s="447">
        <f t="shared" si="1"/>
        <v>155687.69096810225</v>
      </c>
      <c r="H43" s="435">
        <f>'Cost x Depart'!$X$464</f>
        <v>61496637.932400383</v>
      </c>
      <c r="I43" s="123"/>
    </row>
    <row r="44" spans="2:15" ht="18" hidden="1" customHeight="1" outlineLevel="1">
      <c r="B44" s="1222"/>
      <c r="C44" s="443" t="s">
        <v>928</v>
      </c>
      <c r="D44" s="287"/>
      <c r="E44" s="441">
        <f>'Cost x Depart'!$R$504</f>
        <v>85</v>
      </c>
      <c r="F44" s="438"/>
      <c r="G44" s="447">
        <f t="shared" si="1"/>
        <v>159287.22853222996</v>
      </c>
      <c r="H44" s="435">
        <f>'Cost x Depart'!$X$504</f>
        <v>67697072.126197726</v>
      </c>
      <c r="I44" s="123"/>
    </row>
    <row r="45" spans="2:15" ht="18" hidden="1" customHeight="1" outlineLevel="1">
      <c r="B45" s="1222"/>
      <c r="C45" s="443" t="s">
        <v>998</v>
      </c>
      <c r="D45" s="287"/>
      <c r="E45" s="441">
        <f>'Cost x Depart'!$R$582</f>
        <v>61.5</v>
      </c>
      <c r="F45" s="438"/>
      <c r="G45" s="447">
        <f t="shared" si="1"/>
        <v>155687.69096810225</v>
      </c>
      <c r="H45" s="435">
        <f>'Cost x Depart'!$X$582</f>
        <v>47873964.972691439</v>
      </c>
      <c r="I45" s="123"/>
    </row>
    <row r="46" spans="2:15" ht="18" hidden="1" customHeight="1" outlineLevel="1">
      <c r="B46" s="1222"/>
      <c r="C46" s="443" t="s">
        <v>1014</v>
      </c>
      <c r="D46" s="287"/>
      <c r="E46" s="441">
        <f>'Cost x Depart'!$R$618</f>
        <v>48.5</v>
      </c>
      <c r="F46" s="438"/>
      <c r="G46" s="447">
        <f t="shared" si="1"/>
        <v>95510.806562686208</v>
      </c>
      <c r="H46" s="435">
        <f>'Cost x Depart'!$X$618</f>
        <v>23161370.591451406</v>
      </c>
      <c r="I46" s="123"/>
    </row>
    <row r="47" spans="2:15" ht="18" hidden="1" customHeight="1" outlineLevel="1">
      <c r="B47" s="1222"/>
      <c r="C47" s="443" t="s">
        <v>1325</v>
      </c>
      <c r="D47" s="287"/>
      <c r="E47" s="441">
        <f>'Cost x Depart'!$R$654</f>
        <v>30</v>
      </c>
      <c r="F47" s="438"/>
      <c r="G47" s="447">
        <f t="shared" si="1"/>
        <v>85265.96888016905</v>
      </c>
      <c r="H47" s="435">
        <f>'Cost x Depart'!$X$654</f>
        <v>12789895.332025357</v>
      </c>
      <c r="I47" s="123"/>
    </row>
    <row r="48" spans="2:15" ht="18" hidden="1" customHeight="1" outlineLevel="1">
      <c r="B48" s="1222"/>
      <c r="C48" s="443" t="s">
        <v>1035</v>
      </c>
      <c r="D48" s="287"/>
      <c r="E48" s="441">
        <f>'Cost x Depart'!$R$679</f>
        <v>96</v>
      </c>
      <c r="F48" s="438"/>
      <c r="G48" s="447">
        <f t="shared" si="1"/>
        <v>155687.69096810225</v>
      </c>
      <c r="H48" s="435">
        <f>'Cost x Depart'!$X$679</f>
        <v>74730091.664689079</v>
      </c>
      <c r="I48" s="123"/>
    </row>
    <row r="49" spans="2:9" ht="18" hidden="1" customHeight="1" outlineLevel="1">
      <c r="B49" s="1222"/>
      <c r="C49" s="443" t="s">
        <v>1038</v>
      </c>
      <c r="D49" s="287"/>
      <c r="E49" s="441">
        <f>'Cost x Depart'!$R$725</f>
        <v>34</v>
      </c>
      <c r="F49" s="438"/>
      <c r="G49" s="447">
        <f t="shared" si="1"/>
        <v>85265.96888016905</v>
      </c>
      <c r="H49" s="435">
        <f>'Cost x Depart'!$X$725</f>
        <v>14495214.709628738</v>
      </c>
      <c r="I49" s="123"/>
    </row>
    <row r="50" spans="2:9" ht="18" hidden="1" customHeight="1" outlineLevel="1">
      <c r="B50" s="1222"/>
      <c r="C50" s="443" t="s">
        <v>123</v>
      </c>
      <c r="D50" s="287"/>
      <c r="E50" s="441">
        <f>'Cost x Depart'!$R$757+'Cost x Depart'!R759</f>
        <v>164</v>
      </c>
      <c r="F50" s="438"/>
      <c r="G50" s="447">
        <f t="shared" si="1"/>
        <v>154180.1923301341</v>
      </c>
      <c r="H50" s="435">
        <f>'Cost x Depart'!$X$757+'Cost x Depart'!X759</f>
        <v>126427757.71070996</v>
      </c>
      <c r="I50" s="123"/>
    </row>
    <row r="51" spans="2:9" ht="18" hidden="1" customHeight="1" outlineLevel="1">
      <c r="B51" s="1222"/>
      <c r="C51" s="443" t="s">
        <v>1326</v>
      </c>
      <c r="D51" s="287"/>
      <c r="E51" s="441">
        <f>'Cost x Depart'!$R$838</f>
        <v>47</v>
      </c>
      <c r="F51" s="438"/>
      <c r="G51" s="447">
        <f t="shared" si="1"/>
        <v>177361.8295486829</v>
      </c>
      <c r="H51" s="435">
        <f>'Cost x Depart'!$X$838</f>
        <v>41680029.943940483</v>
      </c>
      <c r="I51" s="123"/>
    </row>
    <row r="52" spans="2:9" ht="18" hidden="1" customHeight="1" outlineLevel="1">
      <c r="B52" s="1222"/>
      <c r="C52" s="443" t="s">
        <v>1084</v>
      </c>
      <c r="D52" s="287"/>
      <c r="E52" s="441">
        <f>'Cost x Depart'!$R$871</f>
        <v>28</v>
      </c>
      <c r="F52" s="438"/>
      <c r="G52" s="447">
        <f t="shared" si="1"/>
        <v>155687.69096810225</v>
      </c>
      <c r="H52" s="435">
        <f>'Cost x Depart'!$X$871</f>
        <v>21796276.735534314</v>
      </c>
      <c r="I52" s="123"/>
    </row>
    <row r="53" spans="2:9" ht="18" hidden="1" customHeight="1" outlineLevel="1">
      <c r="B53" s="1222"/>
      <c r="C53" s="443" t="s">
        <v>1085</v>
      </c>
      <c r="D53" s="287"/>
      <c r="E53" s="441">
        <f>'Cost x Depart'!$R$897</f>
        <v>23</v>
      </c>
      <c r="F53" s="438"/>
      <c r="G53" s="447">
        <f t="shared" si="1"/>
        <v>95510.806562686164</v>
      </c>
      <c r="H53" s="435">
        <f>'Cost x Depart'!$X$897</f>
        <v>10983742.754708908</v>
      </c>
      <c r="I53" s="123"/>
    </row>
    <row r="54" spans="2:9" ht="18" hidden="1" customHeight="1" outlineLevel="1">
      <c r="B54" s="1222"/>
      <c r="C54" s="443" t="s">
        <v>1091</v>
      </c>
      <c r="D54" s="287"/>
      <c r="E54" s="441">
        <f>'Cost x Depart'!$R$919</f>
        <v>60.5</v>
      </c>
      <c r="F54" s="438"/>
      <c r="G54" s="447">
        <f t="shared" si="1"/>
        <v>155687.69096810225</v>
      </c>
      <c r="H54" s="435">
        <f>'Cost x Depart'!$X$919</f>
        <v>47095526.517850928</v>
      </c>
      <c r="I54" s="123"/>
    </row>
    <row r="55" spans="2:9" ht="18" hidden="1" customHeight="1" outlineLevel="1">
      <c r="B55" s="1222"/>
      <c r="C55" s="443" t="s">
        <v>924</v>
      </c>
      <c r="D55" s="287"/>
      <c r="E55" s="441">
        <f>'Cost x Depart'!$R$953</f>
        <v>60</v>
      </c>
      <c r="F55" s="438"/>
      <c r="G55" s="447">
        <f t="shared" si="1"/>
        <v>155687.69096810225</v>
      </c>
      <c r="H55" s="435">
        <f>'Cost x Depart'!$X$953</f>
        <v>46706307.290430672</v>
      </c>
      <c r="I55" s="123"/>
    </row>
    <row r="56" spans="2:9" ht="18" hidden="1" customHeight="1" outlineLevel="1">
      <c r="B56" s="1222"/>
      <c r="C56" s="443" t="s">
        <v>1148</v>
      </c>
      <c r="D56" s="287"/>
      <c r="E56" s="441">
        <f>'Cost x Depart'!$R$993</f>
        <v>63</v>
      </c>
      <c r="F56" s="438"/>
      <c r="G56" s="447">
        <f t="shared" si="1"/>
        <v>76513.247196456898</v>
      </c>
      <c r="H56" s="435">
        <f>'Cost x Depart'!$X$993</f>
        <v>24101672.866883922</v>
      </c>
      <c r="I56" s="123"/>
    </row>
    <row r="57" spans="2:9" ht="18" hidden="1" customHeight="1" outlineLevel="1">
      <c r="B57" s="1222"/>
      <c r="C57" s="443" t="s">
        <v>1281</v>
      </c>
      <c r="D57" s="287"/>
      <c r="E57" s="441">
        <f>'Cost x Depart'!$R$1038</f>
        <v>117.5</v>
      </c>
      <c r="F57" s="438"/>
      <c r="G57" s="447">
        <f t="shared" si="1"/>
        <v>184868.55746019684</v>
      </c>
      <c r="H57" s="435">
        <f>'Cost x Depart'!$X$1038</f>
        <v>108610277.50786565</v>
      </c>
      <c r="I57" s="123"/>
    </row>
    <row r="58" spans="2:9" ht="18" hidden="1" customHeight="1" outlineLevel="1">
      <c r="B58" s="1222"/>
      <c r="C58" s="443" t="s">
        <v>1171</v>
      </c>
      <c r="D58" s="287"/>
      <c r="E58" s="441">
        <f>'Cost x Depart'!$R$1095</f>
        <v>19</v>
      </c>
      <c r="F58" s="438"/>
      <c r="G58" s="447">
        <f t="shared" si="1"/>
        <v>58377.115623352234</v>
      </c>
      <c r="H58" s="435">
        <f>'Cost x Depart'!$X$1095</f>
        <v>5545825.9842184624</v>
      </c>
      <c r="I58" s="123"/>
    </row>
    <row r="59" spans="2:9" ht="18" hidden="1" customHeight="1" outlineLevel="1">
      <c r="B59" s="1222"/>
      <c r="C59" s="443" t="s">
        <v>1174</v>
      </c>
      <c r="D59" s="287"/>
      <c r="E59" s="441">
        <f>'Cost x Depart'!$R$1119</f>
        <v>24</v>
      </c>
      <c r="F59" s="438"/>
      <c r="G59" s="447">
        <f t="shared" si="1"/>
        <v>136444.00937526597</v>
      </c>
      <c r="H59" s="435">
        <f>'Cost x Depart'!$X$1119</f>
        <v>16373281.125031916</v>
      </c>
      <c r="I59" s="123"/>
    </row>
    <row r="60" spans="2:9" ht="18" hidden="1" customHeight="1" outlineLevel="1">
      <c r="B60" s="1222"/>
      <c r="C60" s="443" t="s">
        <v>1183</v>
      </c>
      <c r="D60" s="287"/>
      <c r="E60" s="441">
        <f>'Cost x Depart'!$R$1145</f>
        <v>31</v>
      </c>
      <c r="F60" s="438"/>
      <c r="G60" s="447">
        <f t="shared" si="1"/>
        <v>98064.324663734005</v>
      </c>
      <c r="H60" s="435">
        <f>'Cost x Depart'!$X$1145</f>
        <v>15199970.322878771</v>
      </c>
      <c r="I60" s="123"/>
    </row>
    <row r="61" spans="2:9" ht="18" hidden="1" customHeight="1" outlineLevel="1">
      <c r="B61" s="1222"/>
      <c r="C61" s="443" t="s">
        <v>1137</v>
      </c>
      <c r="D61" s="287"/>
      <c r="E61" s="441">
        <f>'Cost x Depart'!$R$1169</f>
        <v>7.5</v>
      </c>
      <c r="F61" s="438"/>
      <c r="G61" s="447">
        <f t="shared" si="1"/>
        <v>58377.115623352234</v>
      </c>
      <c r="H61" s="435">
        <f>'Cost x Depart'!$X$1169</f>
        <v>2189141.8358757086</v>
      </c>
      <c r="I61" s="123"/>
    </row>
    <row r="62" spans="2:9" ht="18" hidden="1" customHeight="1" outlineLevel="1">
      <c r="B62" s="1222"/>
      <c r="C62" s="443" t="s">
        <v>1185</v>
      </c>
      <c r="D62" s="287"/>
      <c r="E62" s="441">
        <f>'Cost x Depart'!$R$1185</f>
        <v>12</v>
      </c>
      <c r="F62" s="438"/>
      <c r="G62" s="447">
        <f t="shared" si="1"/>
        <v>58377.11562335222</v>
      </c>
      <c r="H62" s="435">
        <f>'Cost x Depart'!$X$1185</f>
        <v>3502626.9374011336</v>
      </c>
      <c r="I62" s="123"/>
    </row>
    <row r="63" spans="2:9" ht="18" hidden="1" customHeight="1" outlineLevel="1">
      <c r="B63" s="1222"/>
      <c r="C63" s="443" t="s">
        <v>1189</v>
      </c>
      <c r="D63" s="287"/>
      <c r="E63" s="441">
        <f>'Cost x Depart'!$R$1204</f>
        <v>4</v>
      </c>
      <c r="F63" s="438"/>
      <c r="G63" s="447">
        <f t="shared" si="1"/>
        <v>58377.115623352234</v>
      </c>
      <c r="H63" s="435">
        <f>'Cost x Depart'!$X$1204</f>
        <v>1167542.3124670447</v>
      </c>
      <c r="I63" s="123"/>
    </row>
    <row r="64" spans="2:9" ht="18" hidden="1" customHeight="1" outlineLevel="1">
      <c r="B64" s="1222"/>
      <c r="C64" s="443" t="s">
        <v>1197</v>
      </c>
      <c r="D64" s="287"/>
      <c r="E64" s="441">
        <f>'Cost x Depart'!$R$1218</f>
        <v>10</v>
      </c>
      <c r="F64" s="438"/>
      <c r="G64" s="447">
        <f t="shared" si="1"/>
        <v>58377.115623352234</v>
      </c>
      <c r="H64" s="435">
        <f>'Cost x Depart'!$X$1218</f>
        <v>2918855.7811676115</v>
      </c>
      <c r="I64" s="123"/>
    </row>
    <row r="65" spans="2:9" ht="18" hidden="1" customHeight="1" outlineLevel="1">
      <c r="B65" s="1222"/>
      <c r="C65" s="443" t="s">
        <v>1198</v>
      </c>
      <c r="D65" s="287"/>
      <c r="E65" s="441">
        <f>'Cost x Depart'!$R$1233</f>
        <v>4</v>
      </c>
      <c r="F65" s="438"/>
      <c r="G65" s="447">
        <f t="shared" si="1"/>
        <v>68222.004687632972</v>
      </c>
      <c r="H65" s="435">
        <f>'Cost x Depart'!$X$1233</f>
        <v>1364440.0937526594</v>
      </c>
      <c r="I65" s="123"/>
    </row>
    <row r="66" spans="2:9" ht="18" hidden="1" customHeight="1" outlineLevel="1">
      <c r="B66" s="1222"/>
      <c r="C66" s="443" t="s">
        <v>1204</v>
      </c>
      <c r="D66" s="287"/>
      <c r="E66" s="441">
        <f>'Cost x Depart'!$R$1246</f>
        <v>6.5</v>
      </c>
      <c r="F66" s="438"/>
      <c r="G66" s="447">
        <f t="shared" si="1"/>
        <v>58377.115623352234</v>
      </c>
      <c r="H66" s="435">
        <f>'Cost x Depart'!$X$1246</f>
        <v>1897256.2577589476</v>
      </c>
      <c r="I66" s="123"/>
    </row>
    <row r="67" spans="2:9" ht="18" hidden="1" customHeight="1" outlineLevel="1" thickBot="1">
      <c r="B67" s="1222"/>
      <c r="C67" s="444" t="s">
        <v>1280</v>
      </c>
      <c r="D67" s="445"/>
      <c r="E67" s="442">
        <f>'Cost x Depart'!$R$1263</f>
        <v>0</v>
      </c>
      <c r="F67" s="440"/>
      <c r="G67" s="448" t="e">
        <f t="shared" si="1"/>
        <v>#DIV/0!</v>
      </c>
      <c r="H67" s="446">
        <f>'Cost x Depart'!$X$1263</f>
        <v>0</v>
      </c>
      <c r="I67" s="123"/>
    </row>
    <row r="68" spans="2:9" ht="18" customHeight="1" collapsed="1" thickBot="1">
      <c r="B68" s="1222"/>
      <c r="C68" s="1217" t="s">
        <v>1371</v>
      </c>
      <c r="D68" s="1218"/>
      <c r="E68" s="1218"/>
      <c r="F68" s="1218"/>
      <c r="G68" s="1219"/>
      <c r="H68" s="451">
        <f>+SUM(H69:H102)</f>
        <v>62563508.971466921</v>
      </c>
      <c r="I68" s="123"/>
    </row>
    <row r="69" spans="2:9" ht="18" hidden="1" customHeight="1" outlineLevel="1">
      <c r="B69" s="1222"/>
      <c r="C69" s="454" t="s">
        <v>1323</v>
      </c>
      <c r="D69" s="455"/>
      <c r="E69" s="455"/>
      <c r="F69" s="455"/>
      <c r="G69" s="456"/>
      <c r="H69" s="431">
        <f>'Cost x Depart'!$Y$2</f>
        <v>8312142.7083716355</v>
      </c>
      <c r="I69" s="123"/>
    </row>
    <row r="70" spans="2:9" ht="18" hidden="1" customHeight="1" outlineLevel="1">
      <c r="B70" s="1222"/>
      <c r="C70" s="443" t="s">
        <v>1324</v>
      </c>
      <c r="D70" s="287"/>
      <c r="E70" s="287"/>
      <c r="F70" s="287"/>
      <c r="G70" s="439"/>
      <c r="H70" s="435">
        <f>'Cost x Depart'!$Y$103</f>
        <v>1949345.1427754804</v>
      </c>
      <c r="I70" s="123"/>
    </row>
    <row r="71" spans="2:9" ht="18" hidden="1" customHeight="1" outlineLevel="1">
      <c r="B71" s="1222"/>
      <c r="C71" s="443" t="s">
        <v>805</v>
      </c>
      <c r="D71" s="287"/>
      <c r="E71" s="287"/>
      <c r="F71" s="287"/>
      <c r="G71" s="439"/>
      <c r="H71" s="435">
        <f>'Cost x Depart'!$Y$144</f>
        <v>2090107.2512467727</v>
      </c>
      <c r="I71" s="123"/>
    </row>
    <row r="72" spans="2:9" ht="18" hidden="1" customHeight="1" outlineLevel="1">
      <c r="B72" s="1222"/>
      <c r="C72" s="443" t="s">
        <v>663</v>
      </c>
      <c r="D72" s="287"/>
      <c r="E72" s="287"/>
      <c r="F72" s="287"/>
      <c r="G72" s="439"/>
      <c r="H72" s="435">
        <f>'Cost x Depart'!$Y$185</f>
        <v>3002339.8155129971</v>
      </c>
      <c r="I72" s="123"/>
    </row>
    <row r="73" spans="2:9" ht="18" hidden="1" customHeight="1" outlineLevel="1">
      <c r="B73" s="1222"/>
      <c r="C73" s="443" t="s">
        <v>822</v>
      </c>
      <c r="D73" s="287"/>
      <c r="E73" s="287"/>
      <c r="F73" s="287"/>
      <c r="G73" s="439"/>
      <c r="H73" s="435">
        <f>'Cost x Depart'!$Y$238</f>
        <v>1900413.0637396667</v>
      </c>
      <c r="I73" s="123"/>
    </row>
    <row r="74" spans="2:9" ht="18" hidden="1" customHeight="1" outlineLevel="1">
      <c r="B74" s="1222"/>
      <c r="C74" s="443" t="s">
        <v>831</v>
      </c>
      <c r="D74" s="287"/>
      <c r="E74" s="287"/>
      <c r="F74" s="287"/>
      <c r="G74" s="439"/>
      <c r="H74" s="435">
        <f>'Cost x Depart'!$Y$317</f>
        <v>1155723.3981614325</v>
      </c>
      <c r="I74" s="123"/>
    </row>
    <row r="75" spans="2:9" ht="18" hidden="1" customHeight="1" outlineLevel="1">
      <c r="B75" s="1222"/>
      <c r="C75" s="443" t="s">
        <v>912</v>
      </c>
      <c r="D75" s="287"/>
      <c r="E75" s="287"/>
      <c r="F75" s="287"/>
      <c r="G75" s="439"/>
      <c r="H75" s="435">
        <f>'Cost x Depart'!$Y$358</f>
        <v>1090131.1998509462</v>
      </c>
      <c r="I75" s="123"/>
    </row>
    <row r="76" spans="2:9" ht="18" hidden="1" customHeight="1" outlineLevel="1">
      <c r="B76" s="1222"/>
      <c r="C76" s="443" t="s">
        <v>916</v>
      </c>
      <c r="D76" s="287"/>
      <c r="E76" s="287"/>
      <c r="F76" s="287"/>
      <c r="G76" s="439"/>
      <c r="H76" s="435">
        <f>'Cost x Depart'!$Y$379</f>
        <v>3706734.5616624178</v>
      </c>
      <c r="I76" s="123"/>
    </row>
    <row r="77" spans="2:9" ht="18" hidden="1" customHeight="1" outlineLevel="1">
      <c r="B77" s="1222"/>
      <c r="C77" s="443" t="s">
        <v>925</v>
      </c>
      <c r="D77" s="287"/>
      <c r="E77" s="287"/>
      <c r="F77" s="287"/>
      <c r="G77" s="439"/>
      <c r="H77" s="435">
        <f>'Cost x Depart'!$Y$430</f>
        <v>2053617.9486761237</v>
      </c>
      <c r="I77" s="123"/>
    </row>
    <row r="78" spans="2:9" ht="18" hidden="1" customHeight="1" outlineLevel="1">
      <c r="B78" s="1222"/>
      <c r="C78" s="443" t="s">
        <v>564</v>
      </c>
      <c r="D78" s="287"/>
      <c r="E78" s="287"/>
      <c r="F78" s="287"/>
      <c r="G78" s="439"/>
      <c r="H78" s="435">
        <f>'Cost x Depart'!$Y$464</f>
        <v>2929361.2103716987</v>
      </c>
      <c r="I78" s="123"/>
    </row>
    <row r="79" spans="2:9" ht="18" hidden="1" customHeight="1" outlineLevel="1">
      <c r="B79" s="1222"/>
      <c r="C79" s="443" t="s">
        <v>928</v>
      </c>
      <c r="D79" s="287"/>
      <c r="E79" s="287"/>
      <c r="F79" s="287"/>
      <c r="G79" s="439"/>
      <c r="H79" s="435">
        <f>'Cost x Depart'!$Y$504</f>
        <v>3221086.4244751865</v>
      </c>
      <c r="I79" s="123"/>
    </row>
    <row r="80" spans="2:9" ht="18" hidden="1" customHeight="1" outlineLevel="1">
      <c r="B80" s="1222"/>
      <c r="C80" s="443" t="s">
        <v>998</v>
      </c>
      <c r="D80" s="287"/>
      <c r="E80" s="287"/>
      <c r="F80" s="287"/>
      <c r="G80" s="439"/>
      <c r="H80" s="435">
        <f>'Cost x Depart'!$Y$582</f>
        <v>2290798.4153853417</v>
      </c>
      <c r="I80" s="123"/>
    </row>
    <row r="81" spans="2:9" ht="18" hidden="1" customHeight="1" outlineLevel="1">
      <c r="B81" s="1222"/>
      <c r="C81" s="443" t="s">
        <v>1014</v>
      </c>
      <c r="D81" s="287"/>
      <c r="E81" s="287"/>
      <c r="F81" s="287"/>
      <c r="G81" s="439"/>
      <c r="H81" s="435">
        <f>'Cost x Depart'!$Y$618</f>
        <v>1107179.1779508886</v>
      </c>
      <c r="I81" s="123"/>
    </row>
    <row r="82" spans="2:9" ht="18" hidden="1" customHeight="1" outlineLevel="1">
      <c r="B82" s="1222"/>
      <c r="C82" s="443" t="s">
        <v>1325</v>
      </c>
      <c r="D82" s="287"/>
      <c r="E82" s="287"/>
      <c r="F82" s="287"/>
      <c r="G82" s="439"/>
      <c r="H82" s="435">
        <f>'Cost x Depart'!$Y$654</f>
        <v>618711.18668672652</v>
      </c>
      <c r="I82" s="123"/>
    </row>
    <row r="83" spans="2:9" ht="18" hidden="1" customHeight="1" outlineLevel="1">
      <c r="B83" s="1222"/>
      <c r="C83" s="443" t="s">
        <v>1035</v>
      </c>
      <c r="D83" s="287"/>
      <c r="E83" s="287"/>
      <c r="F83" s="287"/>
      <c r="G83" s="439"/>
      <c r="H83" s="435">
        <f>'Cost x Depart'!$Y$679</f>
        <v>3561355.9308953392</v>
      </c>
      <c r="I83" s="123"/>
    </row>
    <row r="84" spans="2:9" ht="18" hidden="1" customHeight="1" outlineLevel="1">
      <c r="B84" s="1222"/>
      <c r="C84" s="443" t="s">
        <v>1038</v>
      </c>
      <c r="D84" s="287"/>
      <c r="E84" s="287"/>
      <c r="F84" s="287"/>
      <c r="G84" s="439"/>
      <c r="H84" s="435">
        <f>'Cost x Depart'!$Y$725</f>
        <v>698648.03251188505</v>
      </c>
      <c r="I84" s="123"/>
    </row>
    <row r="85" spans="2:9" ht="18" hidden="1" customHeight="1" outlineLevel="1">
      <c r="B85" s="1222"/>
      <c r="C85" s="443" t="s">
        <v>123</v>
      </c>
      <c r="D85" s="287"/>
      <c r="E85" s="287"/>
      <c r="F85" s="287"/>
      <c r="G85" s="439"/>
      <c r="H85" s="435">
        <f>'Cost x Depart'!$Y$757+'Cost x Depart'!Y759</f>
        <v>6018809.2580876155</v>
      </c>
      <c r="I85" s="123"/>
    </row>
    <row r="86" spans="2:9" ht="18" hidden="1" customHeight="1" outlineLevel="1">
      <c r="B86" s="1222"/>
      <c r="C86" s="443" t="s">
        <v>1326</v>
      </c>
      <c r="D86" s="287"/>
      <c r="E86" s="287"/>
      <c r="F86" s="287"/>
      <c r="G86" s="439"/>
      <c r="H86" s="435">
        <f>'Cost x Depart'!$Y$838</f>
        <v>1993657.8152706632</v>
      </c>
      <c r="I86" s="123"/>
    </row>
    <row r="87" spans="2:9" ht="18" hidden="1" customHeight="1" outlineLevel="1">
      <c r="B87" s="1222"/>
      <c r="C87" s="443" t="s">
        <v>1084</v>
      </c>
      <c r="D87" s="287"/>
      <c r="E87" s="287"/>
      <c r="F87" s="287"/>
      <c r="G87" s="439"/>
      <c r="H87" s="435">
        <f>'Cost x Depart'!$Y$871</f>
        <v>1056730.2024459941</v>
      </c>
      <c r="I87" s="123"/>
    </row>
    <row r="88" spans="2:9" ht="18" hidden="1" customHeight="1" outlineLevel="1">
      <c r="B88" s="1222"/>
      <c r="C88" s="443" t="s">
        <v>1085</v>
      </c>
      <c r="D88" s="287"/>
      <c r="E88" s="287"/>
      <c r="F88" s="287"/>
      <c r="G88" s="439"/>
      <c r="H88" s="435">
        <f>'Cost x Depart'!$Y$897</f>
        <v>536352.87310358463</v>
      </c>
      <c r="I88" s="123"/>
    </row>
    <row r="89" spans="2:9" ht="18" hidden="1" customHeight="1" outlineLevel="1">
      <c r="B89" s="1222"/>
      <c r="C89" s="443" t="s">
        <v>1091</v>
      </c>
      <c r="D89" s="287"/>
      <c r="E89" s="287"/>
      <c r="F89" s="287"/>
      <c r="G89" s="439"/>
      <c r="H89" s="435">
        <f>'Cost x Depart'!$Y$919</f>
        <v>2254309.1128146928</v>
      </c>
      <c r="I89" s="123"/>
    </row>
    <row r="90" spans="2:9" ht="18" hidden="1" customHeight="1" outlineLevel="1">
      <c r="B90" s="1222"/>
      <c r="C90" s="443" t="s">
        <v>924</v>
      </c>
      <c r="D90" s="287"/>
      <c r="E90" s="287"/>
      <c r="F90" s="287"/>
      <c r="G90" s="439"/>
      <c r="H90" s="435">
        <f>'Cost x Depart'!$Y$953</f>
        <v>2236064.4615293685</v>
      </c>
      <c r="I90" s="123"/>
    </row>
    <row r="91" spans="2:9" ht="18" hidden="1" customHeight="1" outlineLevel="1">
      <c r="B91" s="1222"/>
      <c r="C91" s="443" t="s">
        <v>1148</v>
      </c>
      <c r="D91" s="287"/>
      <c r="E91" s="287"/>
      <c r="F91" s="287"/>
      <c r="G91" s="439"/>
      <c r="H91" s="435">
        <f>'Cost x Depart'!$Y$993</f>
        <v>1152719.889794121</v>
      </c>
      <c r="I91" s="123"/>
    </row>
    <row r="92" spans="2:9" ht="18" hidden="1" customHeight="1" outlineLevel="1">
      <c r="B92" s="1222"/>
      <c r="C92" s="443" t="s">
        <v>1281</v>
      </c>
      <c r="D92" s="287"/>
      <c r="E92" s="287"/>
      <c r="F92" s="287"/>
      <c r="G92" s="439"/>
      <c r="H92" s="435">
        <f>'Cost x Depart'!$Y$1038</f>
        <v>5160432.4672287777</v>
      </c>
      <c r="I92" s="123"/>
    </row>
    <row r="93" spans="2:9" ht="18" hidden="1" customHeight="1" outlineLevel="1">
      <c r="B93" s="1222"/>
      <c r="C93" s="443" t="s">
        <v>1171</v>
      </c>
      <c r="D93" s="287"/>
      <c r="E93" s="287"/>
      <c r="F93" s="287"/>
      <c r="G93" s="439"/>
      <c r="H93" s="435">
        <f>'Cost x Depart'!$Y$1095</f>
        <v>268717.16035374324</v>
      </c>
      <c r="I93" s="123"/>
    </row>
    <row r="94" spans="2:9" ht="18" hidden="1" customHeight="1" outlineLevel="1">
      <c r="B94" s="1222"/>
      <c r="C94" s="443" t="s">
        <v>1174</v>
      </c>
      <c r="D94" s="287"/>
      <c r="E94" s="287"/>
      <c r="F94" s="287"/>
      <c r="G94" s="439"/>
      <c r="H94" s="435">
        <f>'Cost x Depart'!$Y$1119</f>
        <v>798197.45484530588</v>
      </c>
      <c r="I94" s="123"/>
    </row>
    <row r="95" spans="2:9" ht="18" hidden="1" customHeight="1" outlineLevel="1">
      <c r="B95" s="1222"/>
      <c r="C95" s="443" t="s">
        <v>1183</v>
      </c>
      <c r="D95" s="287"/>
      <c r="E95" s="287"/>
      <c r="F95" s="287"/>
      <c r="G95" s="439"/>
      <c r="H95" s="435">
        <f>'Cost x Depart'!$Y$1145</f>
        <v>734563.08193428256</v>
      </c>
      <c r="I95" s="123"/>
    </row>
    <row r="96" spans="2:9" ht="18" hidden="1" customHeight="1" outlineLevel="1">
      <c r="B96" s="1222"/>
      <c r="C96" s="443" t="s">
        <v>1137</v>
      </c>
      <c r="D96" s="287"/>
      <c r="E96" s="287"/>
      <c r="F96" s="287"/>
      <c r="G96" s="439"/>
      <c r="H96" s="435">
        <f>'Cost x Depart'!$Y$1169</f>
        <v>111372.5909001767</v>
      </c>
      <c r="I96" s="123"/>
    </row>
    <row r="97" spans="2:16" ht="18" hidden="1" customHeight="1" outlineLevel="1">
      <c r="B97" s="1222"/>
      <c r="C97" s="443" t="s">
        <v>1185</v>
      </c>
      <c r="D97" s="287"/>
      <c r="E97" s="287"/>
      <c r="F97" s="287"/>
      <c r="G97" s="439"/>
      <c r="H97" s="435">
        <f>'Cost x Depart'!$Y$1185</f>
        <v>172942.20503418098</v>
      </c>
      <c r="I97" s="123"/>
    </row>
    <row r="98" spans="2:16" ht="18" hidden="1" customHeight="1" outlineLevel="1">
      <c r="B98" s="1222"/>
      <c r="C98" s="443" t="s">
        <v>1189</v>
      </c>
      <c r="D98" s="287"/>
      <c r="E98" s="287"/>
      <c r="F98" s="287"/>
      <c r="G98" s="439"/>
      <c r="H98" s="435">
        <f>'Cost x Depart'!$Y$1204</f>
        <v>63485.113240395549</v>
      </c>
      <c r="I98" s="123"/>
    </row>
    <row r="99" spans="2:16" ht="18" hidden="1" customHeight="1" outlineLevel="1">
      <c r="B99" s="1222"/>
      <c r="C99" s="443" t="s">
        <v>1197</v>
      </c>
      <c r="D99" s="287"/>
      <c r="E99" s="287"/>
      <c r="F99" s="287"/>
      <c r="G99" s="439"/>
      <c r="H99" s="435">
        <f>'Cost x Depart'!$Y$1218</f>
        <v>145577.93208573462</v>
      </c>
      <c r="I99" s="123"/>
    </row>
    <row r="100" spans="2:16" ht="18" hidden="1" customHeight="1" outlineLevel="1">
      <c r="B100" s="1222"/>
      <c r="C100" s="443" t="s">
        <v>1198</v>
      </c>
      <c r="D100" s="287"/>
      <c r="E100" s="287"/>
      <c r="F100" s="287"/>
      <c r="G100" s="439"/>
      <c r="H100" s="435">
        <f>'Cost x Depart'!$Y$1233</f>
        <v>74191.430097800869</v>
      </c>
      <c r="I100" s="123"/>
    </row>
    <row r="101" spans="2:16" ht="18" hidden="1" customHeight="1" outlineLevel="1">
      <c r="B101" s="1222"/>
      <c r="C101" s="443" t="s">
        <v>1204</v>
      </c>
      <c r="D101" s="287"/>
      <c r="E101" s="287"/>
      <c r="F101" s="287"/>
      <c r="G101" s="439"/>
      <c r="H101" s="435">
        <f>'Cost x Depart'!$Y$1246</f>
        <v>97690.454425953503</v>
      </c>
      <c r="I101" s="123"/>
    </row>
    <row r="102" spans="2:16" ht="18" hidden="1" customHeight="1" outlineLevel="1" thickBot="1">
      <c r="B102" s="1222"/>
      <c r="C102" s="459" t="s">
        <v>1280</v>
      </c>
      <c r="D102" s="453"/>
      <c r="E102" s="453"/>
      <c r="F102" s="453"/>
      <c r="G102" s="460"/>
      <c r="H102" s="457">
        <f>'Cost x Depart'!$Y$1263</f>
        <v>0</v>
      </c>
      <c r="I102" s="123"/>
    </row>
    <row r="103" spans="2:16" ht="18" customHeight="1" collapsed="1" thickBot="1">
      <c r="B103" s="128" t="s">
        <v>2328</v>
      </c>
      <c r="C103" s="129"/>
      <c r="D103" s="129"/>
      <c r="E103" s="129"/>
      <c r="F103" s="129"/>
      <c r="G103" s="129"/>
      <c r="H103" s="434">
        <f>+H33+H68</f>
        <v>1372343048.0923336</v>
      </c>
      <c r="I103" s="131"/>
    </row>
    <row r="104" spans="2:16" ht="8.25" customHeight="1">
      <c r="B104" s="111"/>
      <c r="C104" s="111"/>
    </row>
    <row r="105" spans="2:16" ht="6" customHeight="1" thickBot="1">
      <c r="B105" s="111"/>
      <c r="C105" s="111"/>
      <c r="I105" s="121"/>
    </row>
    <row r="106" spans="2:16" ht="48.75" customHeight="1" thickBot="1">
      <c r="B106" s="109" t="s">
        <v>1232</v>
      </c>
      <c r="C106" s="1244" t="s">
        <v>1219</v>
      </c>
      <c r="D106" s="1245"/>
      <c r="E106" s="461" t="s">
        <v>1335</v>
      </c>
      <c r="F106" s="461" t="s">
        <v>1333</v>
      </c>
      <c r="G106" s="462" t="s">
        <v>1334</v>
      </c>
      <c r="H106" s="478" t="s">
        <v>1332</v>
      </c>
      <c r="I106" s="122"/>
    </row>
    <row r="107" spans="2:16" ht="18" customHeight="1">
      <c r="B107" s="1246" t="s">
        <v>1340</v>
      </c>
      <c r="C107" s="906" t="s">
        <v>1331</v>
      </c>
      <c r="D107" s="463"/>
      <c r="E107" s="480">
        <f>+SUM('Cost x Depart'!N1275+'Cost x Depart'!O1275+'Cost x Depart'!Q1275)</f>
        <v>265.25</v>
      </c>
      <c r="F107" s="484">
        <f>+'Parametros Generales'!J7</f>
        <v>39324</v>
      </c>
      <c r="G107" s="481">
        <v>0</v>
      </c>
      <c r="H107" s="419">
        <f>+F107*E107*$E$11</f>
        <v>52153455</v>
      </c>
      <c r="I107" s="123"/>
    </row>
    <row r="108" spans="2:16" ht="18" customHeight="1">
      <c r="B108" s="1246"/>
      <c r="C108" s="907" t="s">
        <v>41</v>
      </c>
      <c r="D108" s="134"/>
      <c r="E108" s="516">
        <f>+('Cost x Depart'!R1275+'Cost x Depart'!Q1275+'Cost x Depart'!P1275+'Cost x Depart'!O1275+'Cost x Depart'!N1275)</f>
        <v>2042.25</v>
      </c>
      <c r="F108" s="485">
        <f>+'Parametros Generales'!J8</f>
        <v>35900</v>
      </c>
      <c r="G108" s="482">
        <v>0</v>
      </c>
      <c r="H108" s="286">
        <f>+F108*E108*$E$11</f>
        <v>366583875</v>
      </c>
      <c r="I108" s="123"/>
    </row>
    <row r="109" spans="2:16" ht="18" customHeight="1">
      <c r="B109" s="1246"/>
      <c r="C109" s="907" t="s">
        <v>1336</v>
      </c>
      <c r="D109" s="134"/>
      <c r="E109" s="483">
        <f>+'Cost x Depart'!M1275</f>
        <v>7016</v>
      </c>
      <c r="F109" s="485">
        <f>+'Parametros Generales'!J9</f>
        <v>97381.818181818206</v>
      </c>
      <c r="G109" s="482">
        <v>0</v>
      </c>
      <c r="H109" s="286">
        <f>+E109*F109*$E$11</f>
        <v>3416154181.8181825</v>
      </c>
      <c r="I109" s="123"/>
    </row>
    <row r="110" spans="2:16" ht="18" customHeight="1">
      <c r="B110" s="1246"/>
      <c r="C110" s="907" t="s">
        <v>1337</v>
      </c>
      <c r="D110" s="134"/>
      <c r="E110" s="483">
        <f>+'Cost x Depart'!H1275*'Parametros Generales'!C11</f>
        <v>2104800</v>
      </c>
      <c r="F110" s="485">
        <v>0</v>
      </c>
      <c r="G110" s="625">
        <f>+'Parametros Generales'!J10</f>
        <v>1228.2082306168022</v>
      </c>
      <c r="H110" s="286">
        <f>+(('Res de Costos Pais'!E11)*'Res de Costos Pais'!E110)*G110</f>
        <v>12925663419.011227</v>
      </c>
      <c r="I110" s="123"/>
      <c r="P110" s="486"/>
    </row>
    <row r="111" spans="2:16" ht="18" customHeight="1" thickBot="1">
      <c r="B111" s="1246"/>
      <c r="C111" s="908" t="s">
        <v>1338</v>
      </c>
      <c r="D111" s="519"/>
      <c r="E111" s="524">
        <f>+E108</f>
        <v>2042.25</v>
      </c>
      <c r="F111" s="525">
        <v>0</v>
      </c>
      <c r="G111" s="526">
        <f>+'Parametros Generales'!J11</f>
        <v>33640</v>
      </c>
      <c r="H111" s="527">
        <f>+E111*G111</f>
        <v>68701290</v>
      </c>
      <c r="I111" s="123"/>
      <c r="P111" s="487"/>
    </row>
    <row r="112" spans="2:16" ht="18" customHeight="1" thickBot="1">
      <c r="B112" s="1251" t="s">
        <v>1339</v>
      </c>
      <c r="C112" s="1252"/>
      <c r="D112" s="129"/>
      <c r="E112" s="129"/>
      <c r="F112" s="129"/>
      <c r="G112" s="129"/>
      <c r="H112" s="434">
        <f>+SUM(H107:H111)</f>
        <v>16829256220.829409</v>
      </c>
      <c r="I112" s="131"/>
    </row>
    <row r="113" spans="2:14" ht="6.75" customHeight="1" thickBot="1">
      <c r="B113" s="111"/>
      <c r="C113" s="111"/>
    </row>
    <row r="114" spans="2:14" ht="15.75" customHeight="1" thickBot="1">
      <c r="B114" s="1201" t="s">
        <v>2330</v>
      </c>
      <c r="C114" s="1202"/>
      <c r="D114" s="1202"/>
      <c r="E114" s="112"/>
      <c r="F114" s="113"/>
      <c r="G114" s="113"/>
      <c r="H114" s="464">
        <f>+H30+H103+H112</f>
        <v>29898191114.68166</v>
      </c>
      <c r="I114" s="135"/>
    </row>
    <row r="115" spans="2:14" ht="6.75" customHeight="1" thickBot="1"/>
    <row r="116" spans="2:14" ht="28.5" customHeight="1">
      <c r="B116" s="520" t="s">
        <v>1232</v>
      </c>
      <c r="C116" s="1207" t="s">
        <v>1219</v>
      </c>
      <c r="D116" s="1207"/>
      <c r="E116" s="1207"/>
      <c r="F116" s="1208"/>
      <c r="G116" s="521" t="s">
        <v>1364</v>
      </c>
      <c r="H116" s="522" t="s">
        <v>1332</v>
      </c>
    </row>
    <row r="117" spans="2:14" ht="18.75" customHeight="1" thickBot="1">
      <c r="B117" s="890" t="s">
        <v>2362</v>
      </c>
      <c r="C117" s="904" t="s">
        <v>1365</v>
      </c>
      <c r="D117" s="517"/>
      <c r="E117" s="146"/>
      <c r="F117" s="134"/>
      <c r="G117" s="1039">
        <v>6.8500000000000005E-2</v>
      </c>
      <c r="H117" s="523">
        <f>+H114*G117</f>
        <v>2048026091.3556938</v>
      </c>
    </row>
    <row r="118" spans="2:14" ht="18" customHeight="1" thickBot="1">
      <c r="B118" s="1251" t="s">
        <v>2363</v>
      </c>
      <c r="C118" s="1252"/>
      <c r="D118" s="129"/>
      <c r="E118" s="129"/>
      <c r="F118" s="129"/>
      <c r="G118" s="129"/>
      <c r="H118" s="434">
        <f>+H117</f>
        <v>2048026091.3556938</v>
      </c>
      <c r="I118" s="131"/>
    </row>
    <row r="119" spans="2:14" ht="18.75" customHeight="1" thickBot="1"/>
    <row r="120" spans="2:14" ht="15.75" customHeight="1" thickBot="1">
      <c r="B120" s="1209" t="s">
        <v>2331</v>
      </c>
      <c r="C120" s="1210"/>
      <c r="D120" s="1210"/>
      <c r="E120" s="1210"/>
      <c r="F120" s="1210"/>
      <c r="G120" s="113"/>
      <c r="H120" s="464">
        <f>+H114+H118</f>
        <v>31946217206.037354</v>
      </c>
      <c r="I120" s="135"/>
    </row>
    <row r="121" spans="2:14" ht="18.75" customHeight="1" thickBot="1"/>
    <row r="122" spans="2:14" ht="31.5" customHeight="1">
      <c r="B122" s="520" t="s">
        <v>1232</v>
      </c>
      <c r="C122" s="1207" t="s">
        <v>1219</v>
      </c>
      <c r="D122" s="1207"/>
      <c r="E122" s="1207"/>
      <c r="F122" s="1208"/>
      <c r="G122" s="521" t="s">
        <v>1364</v>
      </c>
      <c r="H122" s="522" t="s">
        <v>1332</v>
      </c>
    </row>
    <row r="123" spans="2:14" ht="18.75" customHeight="1">
      <c r="B123" s="1211" t="s">
        <v>1367</v>
      </c>
      <c r="C123" s="904" t="s">
        <v>2352</v>
      </c>
      <c r="D123" s="517"/>
      <c r="E123" s="146"/>
      <c r="F123" s="134"/>
      <c r="G123" s="534">
        <f>9.66/1000</f>
        <v>9.6600000000000002E-3</v>
      </c>
      <c r="H123" s="523">
        <f>+H120*G123</f>
        <v>308600458.21032083</v>
      </c>
      <c r="N123" s="1048"/>
    </row>
    <row r="124" spans="2:14" ht="18.75" customHeight="1" thickBot="1">
      <c r="B124" s="1212"/>
      <c r="C124" s="905" t="s">
        <v>1342</v>
      </c>
      <c r="D124" s="518"/>
      <c r="E124" s="119"/>
      <c r="F124" s="528"/>
      <c r="G124" s="535">
        <v>0</v>
      </c>
      <c r="H124" s="529">
        <f>+H120*G124</f>
        <v>0</v>
      </c>
    </row>
    <row r="125" spans="2:14" ht="18" customHeight="1" thickBot="1">
      <c r="B125" s="1251" t="s">
        <v>1368</v>
      </c>
      <c r="C125" s="1252"/>
      <c r="D125" s="129"/>
      <c r="E125" s="129"/>
      <c r="F125" s="129"/>
      <c r="G125" s="129"/>
      <c r="H125" s="434">
        <f>+H123+H124</f>
        <v>308600458.21032083</v>
      </c>
      <c r="I125" s="131"/>
    </row>
    <row r="126" spans="2:14" ht="18.75" customHeight="1" thickBot="1">
      <c r="B126" s="530"/>
      <c r="C126" s="518"/>
      <c r="D126" s="518"/>
      <c r="E126" s="119"/>
      <c r="F126" s="119"/>
      <c r="G126" s="531"/>
      <c r="H126" s="532"/>
    </row>
    <row r="127" spans="2:14" ht="15.75" customHeight="1" thickBot="1">
      <c r="B127" s="1201" t="s">
        <v>2332</v>
      </c>
      <c r="C127" s="1202"/>
      <c r="D127" s="1202"/>
      <c r="E127" s="112"/>
      <c r="F127" s="113"/>
      <c r="G127" s="113"/>
      <c r="H127" s="464">
        <f>+H120+H125</f>
        <v>32254817664.247673</v>
      </c>
      <c r="I127" s="135"/>
    </row>
    <row r="128" spans="2:14" ht="18.75" customHeight="1" thickBot="1"/>
    <row r="129" spans="2:15" ht="30.75" thickBot="1">
      <c r="B129" s="520" t="s">
        <v>1232</v>
      </c>
      <c r="C129" s="473" t="s">
        <v>1219</v>
      </c>
      <c r="D129" s="474" t="s">
        <v>1220</v>
      </c>
      <c r="E129" s="475" t="s">
        <v>1221</v>
      </c>
      <c r="F129" s="475" t="s">
        <v>1222</v>
      </c>
      <c r="G129" s="476" t="s">
        <v>1230</v>
      </c>
      <c r="H129" s="477" t="s">
        <v>1207</v>
      </c>
      <c r="I129" s="136"/>
    </row>
    <row r="130" spans="2:15" ht="18.75" customHeight="1">
      <c r="B130" s="1203" t="s">
        <v>1218</v>
      </c>
      <c r="C130" s="467" t="s">
        <v>1223</v>
      </c>
      <c r="D130" s="468">
        <v>0.1</v>
      </c>
      <c r="E130" s="469">
        <f>+D130*H127</f>
        <v>3225481766.4247675</v>
      </c>
      <c r="F130" s="470">
        <v>1E-3</v>
      </c>
      <c r="G130" s="471">
        <v>4</v>
      </c>
      <c r="H130" s="472">
        <f>L130</f>
        <v>3225481.7664247677</v>
      </c>
      <c r="I130" s="138"/>
      <c r="J130" s="925">
        <f>+F130</f>
        <v>1E-3</v>
      </c>
      <c r="K130" s="925">
        <f>J130*1</f>
        <v>1E-3</v>
      </c>
      <c r="L130" s="926">
        <f>K130*E130</f>
        <v>3225481.7664247677</v>
      </c>
      <c r="M130" s="139"/>
      <c r="N130" s="139"/>
    </row>
    <row r="131" spans="2:15" ht="18.75" customHeight="1">
      <c r="B131" s="1204"/>
      <c r="C131" s="285" t="s">
        <v>1224</v>
      </c>
      <c r="D131" s="114">
        <v>0.2</v>
      </c>
      <c r="E131" s="137">
        <f>+$H$127*D131</f>
        <v>6450963532.849535</v>
      </c>
      <c r="F131" s="115">
        <v>4.0000000000000001E-3</v>
      </c>
      <c r="G131" s="140">
        <v>4</v>
      </c>
      <c r="H131" s="465">
        <f>L131</f>
        <v>19352890.598548606</v>
      </c>
      <c r="I131" s="138"/>
      <c r="J131" s="927">
        <f>+F131/12</f>
        <v>3.3333333333333332E-4</v>
      </c>
      <c r="K131" s="928">
        <f>J131*(G131+$E$11)</f>
        <v>3.0000000000000001E-3</v>
      </c>
      <c r="L131" s="929">
        <f>K131*E131</f>
        <v>19352890.598548606</v>
      </c>
      <c r="M131" s="139"/>
      <c r="N131" s="139"/>
    </row>
    <row r="132" spans="2:15" ht="18.75" customHeight="1">
      <c r="B132" s="1204"/>
      <c r="C132" s="285" t="s">
        <v>1225</v>
      </c>
      <c r="D132" s="114">
        <v>0.1</v>
      </c>
      <c r="E132" s="137">
        <f>+$H$127*D132</f>
        <v>3225481766.4247675</v>
      </c>
      <c r="F132" s="115">
        <v>3.0000000000000001E-3</v>
      </c>
      <c r="G132" s="140">
        <v>36</v>
      </c>
      <c r="H132" s="465">
        <f>L132</f>
        <v>33061188.105853867</v>
      </c>
      <c r="I132" s="138"/>
      <c r="J132" s="927">
        <f>+F132/12</f>
        <v>2.5000000000000001E-4</v>
      </c>
      <c r="K132" s="928">
        <f>J132*(G132+$E$11)</f>
        <v>1.025E-2</v>
      </c>
      <c r="L132" s="929">
        <f>K132*E132</f>
        <v>33061188.105853867</v>
      </c>
      <c r="M132" s="139"/>
      <c r="N132" s="139"/>
    </row>
    <row r="133" spans="2:15" ht="18.75" customHeight="1">
      <c r="B133" s="1204"/>
      <c r="C133" s="285" t="s">
        <v>1226</v>
      </c>
      <c r="D133" s="114">
        <v>0.2</v>
      </c>
      <c r="E133" s="137">
        <f>+$H$127*D133</f>
        <v>6450963532.849535</v>
      </c>
      <c r="F133" s="115">
        <v>4.0000000000000001E-3</v>
      </c>
      <c r="G133" s="140">
        <v>4</v>
      </c>
      <c r="H133" s="465">
        <f>L133</f>
        <v>19352890.598548606</v>
      </c>
      <c r="I133" s="138"/>
      <c r="J133" s="927">
        <f>+F133/12</f>
        <v>3.3333333333333332E-4</v>
      </c>
      <c r="K133" s="928">
        <f>J133*(G133+$E$11)</f>
        <v>3.0000000000000001E-3</v>
      </c>
      <c r="L133" s="929">
        <f>K133*E133</f>
        <v>19352890.598548606</v>
      </c>
      <c r="M133" s="139"/>
      <c r="N133" s="139"/>
    </row>
    <row r="134" spans="2:15" ht="18.75" customHeight="1" thickBot="1">
      <c r="B134" s="1205"/>
      <c r="C134" s="284" t="s">
        <v>1227</v>
      </c>
      <c r="D134" s="116">
        <v>0.1</v>
      </c>
      <c r="E134" s="141">
        <f>+$H$127*D134</f>
        <v>3225481766.4247675</v>
      </c>
      <c r="F134" s="117">
        <v>5.0000000000000001E-3</v>
      </c>
      <c r="G134" s="142">
        <v>4</v>
      </c>
      <c r="H134" s="466">
        <f>L134</f>
        <v>12095556.624092879</v>
      </c>
      <c r="I134" s="138"/>
      <c r="J134" s="927">
        <f>+F134/12</f>
        <v>4.1666666666666669E-4</v>
      </c>
      <c r="K134" s="928">
        <f>J134*(G134+$E$11)</f>
        <v>3.7500000000000003E-3</v>
      </c>
      <c r="L134" s="929">
        <f>K134*E134</f>
        <v>12095556.624092879</v>
      </c>
      <c r="M134" s="139"/>
      <c r="N134" s="139"/>
    </row>
    <row r="135" spans="2:15" ht="15" thickBot="1">
      <c r="B135" s="118"/>
      <c r="C135" s="118"/>
      <c r="D135" s="118"/>
      <c r="E135" s="118"/>
      <c r="F135" s="143" t="s">
        <v>1231</v>
      </c>
      <c r="G135" s="943"/>
      <c r="H135" s="118"/>
      <c r="I135" s="144"/>
    </row>
    <row r="136" spans="2:15" thickBot="1">
      <c r="B136" s="145" t="s">
        <v>1228</v>
      </c>
      <c r="C136" s="129"/>
      <c r="D136" s="129"/>
      <c r="E136" s="129"/>
      <c r="F136" s="129"/>
      <c r="G136" s="942">
        <f>+H136/H127</f>
        <v>2.7000000000000001E-3</v>
      </c>
      <c r="H136" s="434">
        <f>+SUM(H130:H134)</f>
        <v>87088007.69346872</v>
      </c>
      <c r="I136" s="131"/>
      <c r="N136" s="1048"/>
    </row>
    <row r="137" spans="2:15" ht="9" customHeight="1" thickBot="1">
      <c r="B137" s="530"/>
      <c r="C137" s="518"/>
      <c r="D137" s="518"/>
      <c r="E137" s="119"/>
      <c r="F137" s="119"/>
      <c r="G137" s="531"/>
      <c r="H137" s="532"/>
    </row>
    <row r="138" spans="2:15" ht="15.75" customHeight="1" thickBot="1">
      <c r="B138" s="1201" t="s">
        <v>2333</v>
      </c>
      <c r="C138" s="1202"/>
      <c r="D138" s="1202"/>
      <c r="E138" s="112"/>
      <c r="F138" s="113"/>
      <c r="G138" s="113"/>
      <c r="H138" s="464">
        <f>+H127+H136</f>
        <v>32341905671.941143</v>
      </c>
      <c r="I138" s="135"/>
    </row>
    <row r="139" spans="2:15" ht="9" customHeight="1" thickBot="1"/>
    <row r="140" spans="2:15" ht="15.75" customHeight="1" thickBot="1">
      <c r="B140" s="1201" t="s">
        <v>1369</v>
      </c>
      <c r="C140" s="1202"/>
      <c r="D140" s="1202"/>
      <c r="E140" s="112"/>
      <c r="F140" s="113"/>
      <c r="G140" s="533">
        <f>4/1000</f>
        <v>4.0000000000000001E-3</v>
      </c>
      <c r="H140" s="464">
        <f>+H138*G140</f>
        <v>129367622.68776457</v>
      </c>
      <c r="I140" s="135"/>
      <c r="N140" s="1048"/>
    </row>
    <row r="141" spans="2:15" ht="9" customHeight="1" thickBot="1"/>
    <row r="142" spans="2:15" ht="15.75" customHeight="1" thickBot="1">
      <c r="B142" s="1201" t="s">
        <v>2334</v>
      </c>
      <c r="C142" s="1202"/>
      <c r="D142" s="1202"/>
      <c r="E142" s="112"/>
      <c r="F142" s="113"/>
      <c r="G142" s="533"/>
      <c r="H142" s="464">
        <f>+H138+H140</f>
        <v>32471273294.628906</v>
      </c>
      <c r="I142" s="135"/>
    </row>
    <row r="143" spans="2:15" ht="18.75" customHeight="1" thickBot="1">
      <c r="B143" s="536" t="s">
        <v>1370</v>
      </c>
      <c r="C143" s="132"/>
      <c r="D143" s="132"/>
      <c r="E143" s="132"/>
      <c r="F143" s="132"/>
      <c r="G143" s="132"/>
      <c r="H143" s="860">
        <f>+H142/'Parametros Generales'!C6/'Cost x Depart'!$H$1275</f>
        <v>37025.397143248469</v>
      </c>
      <c r="O143" s="111"/>
    </row>
    <row r="144" spans="2:15" ht="18.75" customHeight="1"/>
  </sheetData>
  <sheetProtection password="CC59" sheet="1" objects="1" scenarios="1"/>
  <mergeCells count="40">
    <mergeCell ref="F13:G13"/>
    <mergeCell ref="C32:D32"/>
    <mergeCell ref="C106:D106"/>
    <mergeCell ref="C33:D33"/>
    <mergeCell ref="F27:G27"/>
    <mergeCell ref="F26:G26"/>
    <mergeCell ref="F25:G25"/>
    <mergeCell ref="F32:G32"/>
    <mergeCell ref="B9:H9"/>
    <mergeCell ref="B11:D11"/>
    <mergeCell ref="F17:G17"/>
    <mergeCell ref="F16:G16"/>
    <mergeCell ref="F15:G15"/>
    <mergeCell ref="B14:B29"/>
    <mergeCell ref="F14:G14"/>
    <mergeCell ref="F20:G20"/>
    <mergeCell ref="F19:G19"/>
    <mergeCell ref="F24:G24"/>
    <mergeCell ref="F18:G18"/>
    <mergeCell ref="F23:G23"/>
    <mergeCell ref="F22:G22"/>
    <mergeCell ref="F21:G21"/>
    <mergeCell ref="F29:G29"/>
    <mergeCell ref="F28:G28"/>
    <mergeCell ref="B138:D138"/>
    <mergeCell ref="B140:D140"/>
    <mergeCell ref="B142:D142"/>
    <mergeCell ref="B33:B102"/>
    <mergeCell ref="C68:G68"/>
    <mergeCell ref="B114:D114"/>
    <mergeCell ref="B107:B111"/>
    <mergeCell ref="C122:F122"/>
    <mergeCell ref="B123:B124"/>
    <mergeCell ref="B125:C125"/>
    <mergeCell ref="C116:F116"/>
    <mergeCell ref="B118:C118"/>
    <mergeCell ref="B120:F120"/>
    <mergeCell ref="B130:B134"/>
    <mergeCell ref="B112:C112"/>
    <mergeCell ref="B127:D127"/>
  </mergeCells>
  <hyperlinks>
    <hyperlink ref="B1" location="'Hoja índice'!A1" display="Indice"/>
  </hyperlinks>
  <printOptions horizontalCentered="1" verticalCentered="1"/>
  <pageMargins left="0.23622047244094491" right="0.23622047244094491" top="0.31496062992125984" bottom="0.27559055118110237" header="0.31496062992125984" footer="0.31496062992125984"/>
  <pageSetup scale="36" orientation="landscape" r:id="rId1"/>
  <rowBreaks count="1" manualBreakCount="1">
    <brk id="105" max="16383" man="1"/>
  </rowBreaks>
  <drawing r:id="rId2"/>
</worksheet>
</file>

<file path=xl/worksheets/sheet8.xml><?xml version="1.0" encoding="utf-8"?>
<worksheet xmlns="http://schemas.openxmlformats.org/spreadsheetml/2006/main" xmlns:r="http://schemas.openxmlformats.org/officeDocument/2006/relationships">
  <sheetPr>
    <tabColor theme="4"/>
  </sheetPr>
  <dimension ref="B1:X179"/>
  <sheetViews>
    <sheetView showGridLines="0" topLeftCell="G68" zoomScaleNormal="100" workbookViewId="0">
      <selection activeCell="L97" sqref="L97"/>
    </sheetView>
  </sheetViews>
  <sheetFormatPr baseColWidth="10" defaultRowHeight="12.75"/>
  <cols>
    <col min="1" max="1" width="8.140625" style="568" bestFit="1" customWidth="1"/>
    <col min="2" max="2" width="27.140625" style="568" bestFit="1" customWidth="1"/>
    <col min="3" max="4" width="18" style="568" customWidth="1"/>
    <col min="5" max="5" width="19.42578125" style="568" customWidth="1"/>
    <col min="6" max="6" width="18" style="568" customWidth="1"/>
    <col min="7" max="7" width="29.7109375" style="568" customWidth="1"/>
    <col min="8" max="9" width="18" style="568" customWidth="1"/>
    <col min="10" max="10" width="19" style="568" customWidth="1"/>
    <col min="11" max="11" width="18" style="568" customWidth="1"/>
    <col min="12" max="12" width="29.140625" style="568" customWidth="1"/>
    <col min="13" max="14" width="18" style="568" customWidth="1"/>
    <col min="15" max="15" width="19.42578125" style="568" customWidth="1"/>
    <col min="16" max="19" width="18" style="568" customWidth="1"/>
    <col min="20" max="20" width="20.42578125" style="568" customWidth="1"/>
    <col min="21" max="21" width="11.42578125" style="568"/>
    <col min="22" max="22" width="14.140625" style="568" bestFit="1" customWidth="1"/>
    <col min="23" max="16384" width="11.42578125" style="568"/>
  </cols>
  <sheetData>
    <row r="1" spans="2:24" s="847" customFormat="1" ht="16.5">
      <c r="B1" s="4" t="s">
        <v>2343</v>
      </c>
      <c r="C1" s="4"/>
    </row>
    <row r="2" spans="2:24" s="847" customFormat="1" ht="17.25" thickBot="1"/>
    <row r="3" spans="2:24" ht="52.5" customHeight="1" thickBot="1">
      <c r="B3" s="857" t="str">
        <f>'Cost x Depart'!E1</f>
        <v xml:space="preserve">Regional </v>
      </c>
      <c r="C3" s="813" t="str">
        <f>'Cost x Depart'!H1</f>
        <v>Cobertura 
2013</v>
      </c>
      <c r="D3" s="858" t="str">
        <f>'Cost x Depart'!S1</f>
        <v xml:space="preserve">Coordinador General </v>
      </c>
      <c r="E3" s="858" t="str">
        <f>'Cost x Depart'!T1</f>
        <v xml:space="preserve">Coordinador de Garantia de Derechos </v>
      </c>
      <c r="F3" s="858" t="str">
        <f>'Cost x Depart'!U1</f>
        <v xml:space="preserve">Gestor Administrativo </v>
      </c>
      <c r="G3" s="858" t="str">
        <f>'Cost x Depart'!V1</f>
        <v>Coordinador Metodológico</v>
      </c>
      <c r="H3" s="858" t="str">
        <f>'Cost x Depart'!W1</f>
        <v>Promotor de Derechos</v>
      </c>
      <c r="I3" s="858" t="str">
        <f>'Cost x Depart'!X1</f>
        <v>Costo Transp. P.D.</v>
      </c>
      <c r="J3" s="858" t="str">
        <f>'Cost x Depart'!Y1</f>
        <v>Costo Transp. Supervisión</v>
      </c>
      <c r="K3" s="858" t="str">
        <f>'Cost x Depart'!Z1</f>
        <v>Costo Celular</v>
      </c>
      <c r="L3" s="858" t="str">
        <f>'Cost x Depart'!AA1</f>
        <v>Internet</v>
      </c>
      <c r="M3" s="858" t="str">
        <f>'Cost x Depart'!AB1</f>
        <v>Costo Materiales</v>
      </c>
      <c r="N3" s="858" t="str">
        <f>'Cost x Depart'!AC1</f>
        <v>Costo Refrigerios</v>
      </c>
      <c r="O3" s="858" t="str">
        <f>'Cost x Depart'!AD1</f>
        <v>Costo Chalecos</v>
      </c>
      <c r="P3" s="858" t="str">
        <f>'Cost x Depart'!AF1</f>
        <v xml:space="preserve">ADMINISTRACIÓN Y EXCENDETE SOCIAL </v>
      </c>
      <c r="Q3" s="858" t="str">
        <f>'Cost x Depart'!AH1</f>
        <v>IMPUESTOS</v>
      </c>
      <c r="R3" s="858" t="str">
        <f>'Cost x Depart'!AI1</f>
        <v>POLIZAS</v>
      </c>
      <c r="S3" s="858" t="str">
        <f>'Cost x Depart'!AJ1</f>
        <v>GMF
 (4/1000)</v>
      </c>
      <c r="T3" s="858" t="str">
        <f>'Cost x Depart'!AK1</f>
        <v>TOTAL COSTO REGIONALIZADO</v>
      </c>
      <c r="U3" s="859" t="str">
        <f>'Cost x Depart'!AL1</f>
        <v>COSTO CUPO MES NNA</v>
      </c>
    </row>
    <row r="4" spans="2:24">
      <c r="B4" s="853" t="str">
        <f>'Cost x Depart'!E2</f>
        <v>ANTIOQUIA ZONA 1</v>
      </c>
      <c r="C4" s="810">
        <f>'Cost x Depart'!H2</f>
        <v>15600</v>
      </c>
      <c r="D4" s="854">
        <f>'Cost x Depart'!S2</f>
        <v>14656764.137666669</v>
      </c>
      <c r="E4" s="854">
        <f>'Cost x Depart'!T2</f>
        <v>11043815.659</v>
      </c>
      <c r="F4" s="854">
        <f>'Cost x Depart'!U2</f>
        <v>4890432</v>
      </c>
      <c r="G4" s="854">
        <f>'Cost x Depart'!V2</f>
        <v>194825426.91949999</v>
      </c>
      <c r="H4" s="854">
        <f>'Cost x Depart'!W2</f>
        <v>782887103.0759995</v>
      </c>
      <c r="I4" s="854">
        <f>'Cost x Depart'!X2</f>
        <v>175525450.08541101</v>
      </c>
      <c r="J4" s="854">
        <f>'Cost x Depart'!Y2</f>
        <v>8312142.7083716355</v>
      </c>
      <c r="K4" s="854">
        <f>'Cost x Depart'!Z2</f>
        <v>4227330</v>
      </c>
      <c r="L4" s="854">
        <f>'Cost x Depart'!AA2</f>
        <v>32040750</v>
      </c>
      <c r="M4" s="854">
        <f>'Cost x Depart'!AB2</f>
        <v>303831272.72727269</v>
      </c>
      <c r="N4" s="854">
        <f>'Cost x Depart'!AC2</f>
        <v>1149602903.8573258</v>
      </c>
      <c r="O4" s="854">
        <f>'Cost x Depart'!AD2</f>
        <v>6004740</v>
      </c>
      <c r="P4" s="854">
        <f>'Cost x Depart'!AF2</f>
        <v>184117596.98518252</v>
      </c>
      <c r="Q4" s="854">
        <f>'Cost x Depart'!AH2</f>
        <v>27743188.933984354</v>
      </c>
      <c r="R4" s="854">
        <f>'Cost x Depart'!AI2</f>
        <v>7829214.0761422301</v>
      </c>
      <c r="S4" s="854">
        <f>'Cost x Depart'!AJ2</f>
        <v>11630152.524663428</v>
      </c>
      <c r="T4" s="855">
        <f t="shared" ref="T4:T41" si="0">+D4+E4+F4+G4+H4+I4+J4+K4+L4+M4+N4+O4+P4+Q4+R4+S4</f>
        <v>2919168283.6905203</v>
      </c>
      <c r="U4" s="856">
        <f>'Cost x Depart'!AL2</f>
        <v>37425.23440628872</v>
      </c>
      <c r="V4" s="1147" t="str">
        <f t="shared" ref="V4:V41" si="1">+B4</f>
        <v>ANTIOQUIA ZONA 1</v>
      </c>
      <c r="W4" s="1148">
        <f t="shared" ref="W4:W41" si="2">+C4</f>
        <v>15600</v>
      </c>
    </row>
    <row r="5" spans="2:24">
      <c r="B5" s="611" t="str">
        <f>'Cost x Depart'!E103</f>
        <v>ANTIOQUIA ZONA 2</v>
      </c>
      <c r="C5" s="387">
        <f>'Cost x Depart'!H103</f>
        <v>3600</v>
      </c>
      <c r="D5" s="848">
        <f>'Cost x Depart'!S103</f>
        <v>8794058.4826000016</v>
      </c>
      <c r="E5" s="848">
        <f>'Cost x Depart'!T103</f>
        <v>6626289.3953999998</v>
      </c>
      <c r="F5" s="848">
        <f>'Cost x Depart'!U103</f>
        <v>2934259.1999999997</v>
      </c>
      <c r="G5" s="848">
        <f>'Cost x Depart'!V103</f>
        <v>44959713.9045</v>
      </c>
      <c r="H5" s="848">
        <f>'Cost x Depart'!W103</f>
        <v>180666254.55600002</v>
      </c>
      <c r="I5" s="848">
        <f>'Cost x Depart'!X103</f>
        <v>40505873.096633375</v>
      </c>
      <c r="J5" s="848">
        <f>'Cost x Depart'!Y103</f>
        <v>1949345.1427754804</v>
      </c>
      <c r="K5" s="848">
        <f>'Cost x Depart'!Z103</f>
        <v>1120734</v>
      </c>
      <c r="L5" s="848">
        <f>'Cost x Depart'!AA103</f>
        <v>7592850</v>
      </c>
      <c r="M5" s="848">
        <f>'Cost x Depart'!AB103</f>
        <v>70114909.090909094</v>
      </c>
      <c r="N5" s="848">
        <f>'Cost x Depart'!AC103</f>
        <v>265292977.81322929</v>
      </c>
      <c r="O5" s="848">
        <f>'Cost x Depart'!AD103</f>
        <v>1422972</v>
      </c>
      <c r="P5" s="848">
        <f>'Cost x Depart'!AF103</f>
        <v>43290646.212720238</v>
      </c>
      <c r="Q5" s="848">
        <f>'Cost x Depart'!AH103</f>
        <v>6523116.7287634546</v>
      </c>
      <c r="R5" s="848">
        <f>'Cost x Depart'!AI103</f>
        <v>1840843.7989835339</v>
      </c>
      <c r="S5" s="848">
        <f>'Cost x Depart'!AJ103</f>
        <v>2734539.3736900585</v>
      </c>
      <c r="T5" s="849">
        <f t="shared" si="0"/>
        <v>686369382.79620457</v>
      </c>
      <c r="U5" s="850">
        <f>'Cost x Depart'!AL103</f>
        <v>38131.632377566923</v>
      </c>
      <c r="V5" s="1147" t="str">
        <f t="shared" si="1"/>
        <v>ANTIOQUIA ZONA 2</v>
      </c>
      <c r="W5" s="1148">
        <f t="shared" si="2"/>
        <v>3600</v>
      </c>
      <c r="X5" s="970"/>
    </row>
    <row r="6" spans="2:24">
      <c r="B6" s="611" t="str">
        <f>'Cost x Depart'!E757</f>
        <v>NARIÑO ZONA 1</v>
      </c>
      <c r="C6" s="387">
        <f>'Cost x Depart'!H757</f>
        <v>2200</v>
      </c>
      <c r="D6" s="848">
        <f>'Cost x Depart'!S757</f>
        <v>8794058.4826000016</v>
      </c>
      <c r="E6" s="848">
        <f>'Cost x Depart'!T757</f>
        <v>6626289.3953999998</v>
      </c>
      <c r="F6" s="848">
        <f>'Cost x Depart'!U757</f>
        <v>2934259.1999999997</v>
      </c>
      <c r="G6" s="848">
        <f>'Cost x Depart'!V757</f>
        <v>27475380.719416667</v>
      </c>
      <c r="H6" s="848">
        <f>'Cost x Depart'!W757</f>
        <v>110407155.56199999</v>
      </c>
      <c r="I6" s="848">
        <f>'Cost x Depart'!X757</f>
        <v>16959821.156314768</v>
      </c>
      <c r="J6" s="848">
        <f>'Cost x Depart'!Y757</f>
        <v>829682.15997653489</v>
      </c>
      <c r="K6" s="848">
        <f>'Cost x Depart'!Z757</f>
        <v>776649</v>
      </c>
      <c r="L6" s="848">
        <f>'Cost x Depart'!AA757</f>
        <v>4765725</v>
      </c>
      <c r="M6" s="848">
        <f>'Cost x Depart'!AB757</f>
        <v>42848000.000000007</v>
      </c>
      <c r="N6" s="848">
        <f>'Cost x Depart'!AC757</f>
        <v>162123486.4414179</v>
      </c>
      <c r="O6" s="848">
        <f>'Cost x Depart'!AD757</f>
        <v>893142</v>
      </c>
      <c r="P6" s="848">
        <f>'Cost x Depart'!AF757</f>
        <v>26402204.964523125</v>
      </c>
      <c r="Q6" s="848">
        <f>'Cost x Depart'!AH757</f>
        <v>3978334.3504287293</v>
      </c>
      <c r="R6" s="848">
        <f>'Cost x Depart'!AI757</f>
        <v>1122698.3087666098</v>
      </c>
      <c r="S6" s="848">
        <f>'Cost x Depart'!AJ757</f>
        <v>1667747.5469633772</v>
      </c>
      <c r="T6" s="849">
        <f>+D6+E6+F6+G6+H6+I6+J6+K6+L6+M6+N6+O6+P6+Q6+R6+S6</f>
        <v>418604634.2878077</v>
      </c>
      <c r="U6" s="850">
        <f>'Cost x Depart'!AL757</f>
        <v>38054.96675343706</v>
      </c>
      <c r="V6" s="1147" t="str">
        <f>+B6</f>
        <v>NARIÑO ZONA 1</v>
      </c>
      <c r="W6" s="1148">
        <f>+C6</f>
        <v>2200</v>
      </c>
    </row>
    <row r="7" spans="2:24" ht="13.5" thickBot="1">
      <c r="B7" s="616" t="str">
        <f>'Cost x Depart'!E759</f>
        <v>NARIÑO ZONA 2</v>
      </c>
      <c r="C7" s="1130">
        <f>'Cost x Depart'!H759</f>
        <v>14200</v>
      </c>
      <c r="D7" s="1131">
        <f>'Cost x Depart'!S759</f>
        <v>14656764.137666669</v>
      </c>
      <c r="E7" s="1131">
        <f>'Cost x Depart'!T759</f>
        <v>11043815.659</v>
      </c>
      <c r="F7" s="1131">
        <f>'Cost x Depart'!U759</f>
        <v>4890432</v>
      </c>
      <c r="G7" s="1131">
        <f>'Cost x Depart'!V759</f>
        <v>177341093.73441666</v>
      </c>
      <c r="H7" s="1131">
        <f>'Cost x Depart'!W759</f>
        <v>712628004.08199966</v>
      </c>
      <c r="I7" s="1131">
        <f>'Cost x Depart'!X759</f>
        <v>109467936.5543952</v>
      </c>
      <c r="J7" s="1131">
        <f>'Cost x Depart'!Y759</f>
        <v>5189127.0981110809</v>
      </c>
      <c r="K7" s="1131">
        <f>'Cost x Depart'!Z759</f>
        <v>3883245</v>
      </c>
      <c r="L7" s="1131">
        <f>'Cost x Depart'!AA759</f>
        <v>29213625</v>
      </c>
      <c r="M7" s="1131">
        <f>'Cost x Depart'!AB759</f>
        <v>276564363.63636357</v>
      </c>
      <c r="N7" s="1131">
        <f>'Cost x Depart'!AC759</f>
        <v>1046433412.4855142</v>
      </c>
      <c r="O7" s="1131">
        <f>'Cost x Depart'!AD759</f>
        <v>5474910</v>
      </c>
      <c r="P7" s="1131">
        <f>'Cost x Depart'!AF759</f>
        <v>164179890.96304148</v>
      </c>
      <c r="Q7" s="1131">
        <f>'Cost x Depart'!AH759</f>
        <v>24738937.552585911</v>
      </c>
      <c r="R7" s="1131">
        <f>'Cost x Depart'!AI759</f>
        <v>6981405.0063383551</v>
      </c>
      <c r="S7" s="1131">
        <f>'Cost x Depart'!AJ759</f>
        <v>10370747.85163773</v>
      </c>
      <c r="T7" s="851">
        <f t="shared" ref="T7" si="3">+D7+E7+F7+G7+H7+I7+J7+K7+L7+M7+N7+O7+P7+Q7+R7+S7</f>
        <v>2603057710.7610703</v>
      </c>
      <c r="U7" s="852">
        <f>'Cost x Depart'!AL759</f>
        <v>36662.784658606623</v>
      </c>
      <c r="V7" s="1147" t="str">
        <f>+B7</f>
        <v>NARIÑO ZONA 2</v>
      </c>
      <c r="W7" s="1148">
        <f>+C7</f>
        <v>14200</v>
      </c>
    </row>
    <row r="8" spans="2:24" ht="2.25" customHeight="1" thickBot="1">
      <c r="B8" s="1132"/>
      <c r="C8" s="1133"/>
      <c r="D8" s="1134"/>
      <c r="E8" s="1134"/>
      <c r="F8" s="1134"/>
      <c r="G8" s="1134"/>
      <c r="H8" s="1134"/>
      <c r="I8" s="1134"/>
      <c r="J8" s="1134"/>
      <c r="K8" s="1134"/>
      <c r="L8" s="1134"/>
      <c r="M8" s="1134"/>
      <c r="N8" s="1134"/>
      <c r="O8" s="1134"/>
      <c r="P8" s="1134"/>
      <c r="Q8" s="1134"/>
      <c r="R8" s="1134"/>
      <c r="S8" s="1134"/>
      <c r="T8" s="1135"/>
      <c r="U8" s="1136"/>
      <c r="V8" s="1147"/>
      <c r="W8" s="1148"/>
    </row>
    <row r="9" spans="2:24">
      <c r="B9" s="1141" t="s">
        <v>47</v>
      </c>
      <c r="C9" s="1142">
        <f t="shared" ref="C9:T9" si="4">+C4+C5</f>
        <v>19200</v>
      </c>
      <c r="D9" s="1143">
        <f t="shared" si="4"/>
        <v>23450822.620266668</v>
      </c>
      <c r="E9" s="1143">
        <f t="shared" si="4"/>
        <v>17670105.054400001</v>
      </c>
      <c r="F9" s="1143">
        <f t="shared" si="4"/>
        <v>7824691.1999999993</v>
      </c>
      <c r="G9" s="1143">
        <f t="shared" si="4"/>
        <v>239785140.824</v>
      </c>
      <c r="H9" s="1143">
        <f t="shared" si="4"/>
        <v>963553357.63199949</v>
      </c>
      <c r="I9" s="1143">
        <f t="shared" si="4"/>
        <v>216031323.18204439</v>
      </c>
      <c r="J9" s="1143">
        <f t="shared" si="4"/>
        <v>10261487.851147115</v>
      </c>
      <c r="K9" s="1143">
        <f t="shared" si="4"/>
        <v>5348064</v>
      </c>
      <c r="L9" s="1143">
        <f t="shared" si="4"/>
        <v>39633600</v>
      </c>
      <c r="M9" s="1143">
        <f t="shared" si="4"/>
        <v>373946181.81818175</v>
      </c>
      <c r="N9" s="1143">
        <f t="shared" si="4"/>
        <v>1414895881.6705551</v>
      </c>
      <c r="O9" s="1143">
        <f t="shared" si="4"/>
        <v>7427712</v>
      </c>
      <c r="P9" s="1143">
        <f t="shared" si="4"/>
        <v>227408243.19790277</v>
      </c>
      <c r="Q9" s="1143">
        <f t="shared" si="4"/>
        <v>34266305.662747808</v>
      </c>
      <c r="R9" s="1143">
        <f t="shared" si="4"/>
        <v>9670057.8751257639</v>
      </c>
      <c r="S9" s="1143">
        <f t="shared" si="4"/>
        <v>14364691.898353487</v>
      </c>
      <c r="T9" s="1144">
        <f t="shared" si="4"/>
        <v>3605537666.4867249</v>
      </c>
      <c r="U9" s="1145">
        <f>+T9/C9/'Parametros Generales'!$C$6</f>
        <v>37557.684025903385</v>
      </c>
      <c r="V9" s="1147" t="str">
        <f>+B9</f>
        <v>ANTIOQUIA</v>
      </c>
      <c r="W9" s="1148">
        <f t="shared" si="2"/>
        <v>19200</v>
      </c>
    </row>
    <row r="10" spans="2:24">
      <c r="B10" s="611" t="str">
        <f>'Cost x Depart'!E144</f>
        <v>ATLÁNTICO</v>
      </c>
      <c r="C10" s="387">
        <f>'Cost x Depart'!H144</f>
        <v>5600</v>
      </c>
      <c r="D10" s="848">
        <f>'Cost x Depart'!S144</f>
        <v>11725411.310133336</v>
      </c>
      <c r="E10" s="848">
        <f>'Cost x Depart'!T144</f>
        <v>8835052.5272000004</v>
      </c>
      <c r="F10" s="848">
        <f>'Cost x Depart'!U144</f>
        <v>3912345.6000000001</v>
      </c>
      <c r="G10" s="848">
        <f>'Cost x Depart'!V144</f>
        <v>69937332.740333334</v>
      </c>
      <c r="H10" s="848">
        <f>'Cost x Depart'!W144</f>
        <v>281036395.97599995</v>
      </c>
      <c r="I10" s="848">
        <f>'Cost x Depart'!X144</f>
        <v>43592553.471068628</v>
      </c>
      <c r="J10" s="848">
        <f>'Cost x Depart'!Y144</f>
        <v>2090107.2512467727</v>
      </c>
      <c r="K10" s="848">
        <f>'Cost x Depart'!Z144</f>
        <v>1690932</v>
      </c>
      <c r="L10" s="848">
        <f>'Cost x Depart'!AA144</f>
        <v>11739300</v>
      </c>
      <c r="M10" s="848">
        <f>'Cost x Depart'!AB144</f>
        <v>109067636.36363643</v>
      </c>
      <c r="N10" s="848">
        <f>'Cost x Depart'!AC144</f>
        <v>412677965.48724568</v>
      </c>
      <c r="O10" s="848">
        <f>'Cost x Depart'!AD144</f>
        <v>2200056</v>
      </c>
      <c r="P10" s="848">
        <f>'Cost x Depart'!AF144</f>
        <v>65657598.577790193</v>
      </c>
      <c r="Q10" s="848">
        <f>'Cost x Depart'!AH144</f>
        <v>9893411.559362961</v>
      </c>
      <c r="R10" s="848">
        <f>'Cost x Depart'!AI144</f>
        <v>2791951.4669328467</v>
      </c>
      <c r="S10" s="848">
        <f>'Cost x Depart'!AJ144</f>
        <v>4147392.2013238007</v>
      </c>
      <c r="T10" s="849">
        <f t="shared" si="0"/>
        <v>1040995442.5322739</v>
      </c>
      <c r="U10" s="850">
        <f>'Cost x Depart'!AL144</f>
        <v>37178.408661866924</v>
      </c>
      <c r="V10" s="1147" t="str">
        <f t="shared" si="1"/>
        <v>ATLÁNTICO</v>
      </c>
      <c r="W10" s="1148">
        <f t="shared" si="2"/>
        <v>5600</v>
      </c>
    </row>
    <row r="11" spans="2:24">
      <c r="B11" s="611" t="str">
        <f>'Cost x Depart'!E185</f>
        <v>BOLIVAR</v>
      </c>
      <c r="C11" s="387">
        <f>'Cost x Depart'!H185</f>
        <v>8100</v>
      </c>
      <c r="D11" s="848">
        <f>'Cost x Depart'!S185</f>
        <v>11725411.310133336</v>
      </c>
      <c r="E11" s="848">
        <f>'Cost x Depart'!T185</f>
        <v>8835052.5272000004</v>
      </c>
      <c r="F11" s="848">
        <f>'Cost x Depart'!U185</f>
        <v>3912345.6000000001</v>
      </c>
      <c r="G11" s="848">
        <f>'Cost x Depart'!V185</f>
        <v>101159356.285125</v>
      </c>
      <c r="H11" s="848">
        <f>'Cost x Depart'!W185</f>
        <v>406499072.75100017</v>
      </c>
      <c r="I11" s="848">
        <f>'Cost x Depart'!X185</f>
        <v>63053514.842081405</v>
      </c>
      <c r="J11" s="848">
        <f>'Cost x Depart'!Y185</f>
        <v>3002339.8155129971</v>
      </c>
      <c r="K11" s="848">
        <f>'Cost x Depart'!Z185</f>
        <v>2305369.5</v>
      </c>
      <c r="L11" s="848">
        <f>'Cost x Depart'!AA185</f>
        <v>16787737.5</v>
      </c>
      <c r="M11" s="848">
        <f>'Cost x Depart'!AB185</f>
        <v>157758545.4545455</v>
      </c>
      <c r="N11" s="848">
        <f>'Cost x Depart'!AC185</f>
        <v>596909200.0797658</v>
      </c>
      <c r="O11" s="848">
        <f>'Cost x Depart'!AD185</f>
        <v>3146181</v>
      </c>
      <c r="P11" s="848">
        <f>'Cost x Depart'!AF185</f>
        <v>94193947.676577464</v>
      </c>
      <c r="Q11" s="848">
        <f>'Cost x Depart'!AH185</f>
        <v>14193322.798143158</v>
      </c>
      <c r="R11" s="848">
        <f>'Cost x Depart'!AI185</f>
        <v>4005399.7722782297</v>
      </c>
      <c r="S11" s="848">
        <f>'Cost x Depart'!AJ185</f>
        <v>5949947.1876494531</v>
      </c>
      <c r="T11" s="849">
        <f t="shared" si="0"/>
        <v>1493436744.1000128</v>
      </c>
      <c r="U11" s="850">
        <f>'Cost x Depart'!AL185</f>
        <v>36874.981335802782</v>
      </c>
      <c r="V11" s="1147" t="str">
        <f t="shared" si="1"/>
        <v>BOLIVAR</v>
      </c>
      <c r="W11" s="1148">
        <f t="shared" si="2"/>
        <v>8100</v>
      </c>
    </row>
    <row r="12" spans="2:24">
      <c r="B12" s="611" t="str">
        <f>'Cost x Depart'!E238</f>
        <v>BOYACA</v>
      </c>
      <c r="C12" s="387">
        <f>'Cost x Depart'!H238</f>
        <v>7000</v>
      </c>
      <c r="D12" s="848">
        <f>'Cost x Depart'!S238</f>
        <v>11725411.310133336</v>
      </c>
      <c r="E12" s="848">
        <f>'Cost x Depart'!T238</f>
        <v>8835052.5272000004</v>
      </c>
      <c r="F12" s="848">
        <f>'Cost x Depart'!U238</f>
        <v>3912345.6000000001</v>
      </c>
      <c r="G12" s="848">
        <f>'Cost x Depart'!V238</f>
        <v>87421665.925416663</v>
      </c>
      <c r="H12" s="848">
        <f>'Cost x Depart'!W238</f>
        <v>351295494.96999979</v>
      </c>
      <c r="I12" s="848">
        <f>'Cost x Depart'!X238</f>
        <v>39814115.813475989</v>
      </c>
      <c r="J12" s="848">
        <f>'Cost x Depart'!Y238</f>
        <v>1900413.0637396667</v>
      </c>
      <c r="K12" s="848">
        <f>'Cost x Depart'!Z238</f>
        <v>2035017</v>
      </c>
      <c r="L12" s="848">
        <f>'Cost x Depart'!AA238</f>
        <v>14566425</v>
      </c>
      <c r="M12" s="848">
        <f>'Cost x Depart'!AB238</f>
        <v>136334545.45454553</v>
      </c>
      <c r="N12" s="848">
        <f>'Cost x Depart'!AC238</f>
        <v>515847456.85905695</v>
      </c>
      <c r="O12" s="848">
        <f>'Cost x Depart'!AD238</f>
        <v>2729886</v>
      </c>
      <c r="P12" s="848">
        <f>'Cost x Depart'!AF238</f>
        <v>80584621.322364405</v>
      </c>
      <c r="Q12" s="848">
        <f>'Cost x Depart'!AH238</f>
        <v>12142643.675171705</v>
      </c>
      <c r="R12" s="848">
        <f>'Cost x Depart'!AI238</f>
        <v>3426691.7552069807</v>
      </c>
      <c r="S12" s="848">
        <f>'Cost x Depart'!AJ238</f>
        <v>5090287.1451052437</v>
      </c>
      <c r="T12" s="849">
        <f t="shared" si="0"/>
        <v>1277662073.4214163</v>
      </c>
      <c r="U12" s="850">
        <f>'Cost x Depart'!AL238</f>
        <v>36504.630669183323</v>
      </c>
      <c r="V12" s="1147" t="str">
        <f t="shared" si="1"/>
        <v>BOYACA</v>
      </c>
      <c r="W12" s="1148">
        <f t="shared" si="2"/>
        <v>7000</v>
      </c>
    </row>
    <row r="13" spans="2:24">
      <c r="B13" s="611" t="str">
        <f>'Cost x Depart'!E317</f>
        <v>CALDAS</v>
      </c>
      <c r="C13" s="387">
        <f>'Cost x Depart'!H317</f>
        <v>7100</v>
      </c>
      <c r="D13" s="848">
        <f>'Cost x Depart'!S317</f>
        <v>11725411.310133336</v>
      </c>
      <c r="E13" s="848">
        <f>'Cost x Depart'!T317</f>
        <v>8835052.5272000004</v>
      </c>
      <c r="F13" s="848">
        <f>'Cost x Depart'!U317</f>
        <v>3912345.6000000001</v>
      </c>
      <c r="G13" s="848">
        <f>'Cost x Depart'!V317</f>
        <v>88670546.867208332</v>
      </c>
      <c r="H13" s="848">
        <f>'Cost x Depart'!W317</f>
        <v>356314002.04100013</v>
      </c>
      <c r="I13" s="848">
        <f>'Cost x Depart'!X317</f>
        <v>24218811.664109707</v>
      </c>
      <c r="J13" s="848">
        <f>'Cost x Depart'!Y317</f>
        <v>1155723.3981614325</v>
      </c>
      <c r="K13" s="848">
        <f>'Cost x Depart'!Z317</f>
        <v>2059594.5</v>
      </c>
      <c r="L13" s="848">
        <f>'Cost x Depart'!AA317</f>
        <v>14768362.5</v>
      </c>
      <c r="M13" s="848">
        <f>'Cost x Depart'!AB317</f>
        <v>138282181.8181819</v>
      </c>
      <c r="N13" s="848">
        <f>'Cost x Depart'!AC317</f>
        <v>523216706.24275786</v>
      </c>
      <c r="O13" s="848">
        <f>'Cost x Depart'!AD317</f>
        <v>2767731</v>
      </c>
      <c r="P13" s="848">
        <f>'Cost x Depart'!AF317</f>
        <v>80550963.158609554</v>
      </c>
      <c r="Q13" s="848">
        <f>'Cost x Depart'!AH317</f>
        <v>12137571.999180319</v>
      </c>
      <c r="R13" s="848">
        <f>'Cost x Depart'!AI317</f>
        <v>3425260.5124916653</v>
      </c>
      <c r="S13" s="848">
        <f>'Cost x Depart'!AJ317</f>
        <v>5088161.060556137</v>
      </c>
      <c r="T13" s="849">
        <f t="shared" si="0"/>
        <v>1277128426.1995904</v>
      </c>
      <c r="U13" s="850">
        <f>'Cost x Depart'!AL317</f>
        <v>35975.448625340578</v>
      </c>
      <c r="V13" s="1147" t="str">
        <f t="shared" si="1"/>
        <v>CALDAS</v>
      </c>
      <c r="W13" s="1148">
        <f t="shared" si="2"/>
        <v>7100</v>
      </c>
    </row>
    <row r="14" spans="2:24">
      <c r="B14" s="611" t="str">
        <f>'Cost x Depart'!E358</f>
        <v>CAQUETA</v>
      </c>
      <c r="C14" s="387">
        <f>'Cost x Depart'!H358</f>
        <v>3800</v>
      </c>
      <c r="D14" s="848">
        <f>'Cost x Depart'!S358</f>
        <v>8794058.4826000016</v>
      </c>
      <c r="E14" s="848">
        <f>'Cost x Depart'!T358</f>
        <v>6626289.3953999998</v>
      </c>
      <c r="F14" s="848">
        <f>'Cost x Depart'!U358</f>
        <v>2934259.1999999997</v>
      </c>
      <c r="G14" s="848">
        <f>'Cost x Depart'!V358</f>
        <v>47457475.78808333</v>
      </c>
      <c r="H14" s="848">
        <f>'Cost x Depart'!W358</f>
        <v>190703268.69800001</v>
      </c>
      <c r="I14" s="848">
        <f>'Cost x Depart'!X358</f>
        <v>22683085.883277725</v>
      </c>
      <c r="J14" s="848">
        <f>'Cost x Depart'!Y358</f>
        <v>1090131.1998509462</v>
      </c>
      <c r="K14" s="848">
        <f>'Cost x Depart'!Z358</f>
        <v>1169889</v>
      </c>
      <c r="L14" s="848">
        <f>'Cost x Depart'!AA358</f>
        <v>7996725</v>
      </c>
      <c r="M14" s="848">
        <f>'Cost x Depart'!AB358</f>
        <v>74010181.818181843</v>
      </c>
      <c r="N14" s="848">
        <f>'Cost x Depart'!AC358</f>
        <v>280031476.58063096</v>
      </c>
      <c r="O14" s="848">
        <f>'Cost x Depart'!AD358</f>
        <v>1498662</v>
      </c>
      <c r="P14" s="848">
        <f>'Cost x Depart'!AF358</f>
        <v>44182191.958652705</v>
      </c>
      <c r="Q14" s="848">
        <f>'Cost x Depart'!AH358</f>
        <v>6657456.5337451855</v>
      </c>
      <c r="R14" s="848">
        <f>'Cost x Depart'!AI358</f>
        <v>1878754.9091537413</v>
      </c>
      <c r="S14" s="848">
        <f>'Cost x Depart'!AJ358</f>
        <v>2790855.6257903059</v>
      </c>
      <c r="T14" s="849">
        <f t="shared" si="0"/>
        <v>700504762.07336676</v>
      </c>
      <c r="U14" s="850">
        <f>'Cost x Depart'!AL358</f>
        <v>36868.671688071932</v>
      </c>
      <c r="V14" s="1147" t="str">
        <f t="shared" si="1"/>
        <v>CAQUETA</v>
      </c>
      <c r="W14" s="1148">
        <f t="shared" si="2"/>
        <v>3800</v>
      </c>
    </row>
    <row r="15" spans="2:24">
      <c r="B15" s="611" t="str">
        <f>'Cost x Depart'!E379</f>
        <v>CAUCA</v>
      </c>
      <c r="C15" s="387">
        <f>'Cost x Depart'!H379</f>
        <v>7600</v>
      </c>
      <c r="D15" s="848">
        <f>'Cost x Depart'!S379</f>
        <v>11725411.310133336</v>
      </c>
      <c r="E15" s="848">
        <f>'Cost x Depart'!T379</f>
        <v>8835052.5272000004</v>
      </c>
      <c r="F15" s="848">
        <f>'Cost x Depart'!U379</f>
        <v>3912345.6000000001</v>
      </c>
      <c r="G15" s="848">
        <f>'Cost x Depart'!V379</f>
        <v>94914951.57616666</v>
      </c>
      <c r="H15" s="848">
        <f>'Cost x Depart'!W379</f>
        <v>381406537.39600015</v>
      </c>
      <c r="I15" s="848">
        <f>'Cost x Depart'!X379</f>
        <v>77767239.94101961</v>
      </c>
      <c r="J15" s="848">
        <f>'Cost x Depart'!Y379</f>
        <v>3706734.5616624178</v>
      </c>
      <c r="K15" s="848">
        <f>'Cost x Depart'!Z379</f>
        <v>2182482</v>
      </c>
      <c r="L15" s="848">
        <f>'Cost x Depart'!AA379</f>
        <v>15778050</v>
      </c>
      <c r="M15" s="848">
        <f>'Cost x Depart'!AB379</f>
        <v>148020363.63636371</v>
      </c>
      <c r="N15" s="848">
        <f>'Cost x Depart'!AC379</f>
        <v>560062953.16126192</v>
      </c>
      <c r="O15" s="848">
        <f>'Cost x Depart'!AD379</f>
        <v>2956956</v>
      </c>
      <c r="P15" s="848">
        <f>'Cost x Depart'!AF379</f>
        <v>89821931.823121846</v>
      </c>
      <c r="Q15" s="848">
        <f>'Cost x Depart'!AH379</f>
        <v>13534539.1520881</v>
      </c>
      <c r="R15" s="848">
        <f>'Cost x Depart'!AI379</f>
        <v>3819488.9814495482</v>
      </c>
      <c r="S15" s="848">
        <f>'Cost x Depart'!AJ379</f>
        <v>5673780.1506658699</v>
      </c>
      <c r="T15" s="849">
        <f t="shared" si="0"/>
        <v>1424118817.8171332</v>
      </c>
      <c r="U15" s="850">
        <f>'Cost x Depart'!AL379</f>
        <v>37476.810995187712</v>
      </c>
      <c r="V15" s="1147" t="str">
        <f t="shared" si="1"/>
        <v>CAUCA</v>
      </c>
      <c r="W15" s="1148">
        <f t="shared" si="2"/>
        <v>7600</v>
      </c>
    </row>
    <row r="16" spans="2:24">
      <c r="B16" s="611" t="str">
        <f>'Cost x Depart'!E430</f>
        <v>CESAR</v>
      </c>
      <c r="C16" s="387">
        <f>'Cost x Depart'!H430</f>
        <v>5500</v>
      </c>
      <c r="D16" s="848">
        <f>'Cost x Depart'!S430</f>
        <v>11725411.310133336</v>
      </c>
      <c r="E16" s="848">
        <f>'Cost x Depart'!T430</f>
        <v>8835052.5272000004</v>
      </c>
      <c r="F16" s="848">
        <f>'Cost x Depart'!U430</f>
        <v>3912345.6000000001</v>
      </c>
      <c r="G16" s="848">
        <f>'Cost x Depart'!V430</f>
        <v>68688451.798541665</v>
      </c>
      <c r="H16" s="848">
        <f>'Cost x Depart'!W430</f>
        <v>276017888.90499991</v>
      </c>
      <c r="I16" s="848">
        <f>'Cost x Depart'!X430</f>
        <v>42814115.01622811</v>
      </c>
      <c r="J16" s="848">
        <f>'Cost x Depart'!Y430</f>
        <v>2053617.9486761237</v>
      </c>
      <c r="K16" s="848">
        <f>'Cost x Depart'!Z430</f>
        <v>1666354.5</v>
      </c>
      <c r="L16" s="848">
        <f>'Cost x Depart'!AA430</f>
        <v>11537362.5</v>
      </c>
      <c r="M16" s="848">
        <f>'Cost x Depart'!AB430</f>
        <v>107120000.00000007</v>
      </c>
      <c r="N16" s="848">
        <f>'Cost x Depart'!AC430</f>
        <v>405308716.10354489</v>
      </c>
      <c r="O16" s="848">
        <f>'Cost x Depart'!AD430</f>
        <v>2162211</v>
      </c>
      <c r="P16" s="848">
        <f>'Cost x Depart'!AF430</f>
        <v>64516144.61383871</v>
      </c>
      <c r="Q16" s="848">
        <f>'Cost x Depart'!AH430</f>
        <v>9721415.109811753</v>
      </c>
      <c r="R16" s="848">
        <f>'Cost x Depart'!AI430</f>
        <v>2743413.5347190313</v>
      </c>
      <c r="S16" s="848">
        <f>'Cost x Depart'!AJ430</f>
        <v>4075290.0018707742</v>
      </c>
      <c r="T16" s="849">
        <f t="shared" si="0"/>
        <v>1022897790.4695643</v>
      </c>
      <c r="U16" s="850">
        <f>'Cost x Depart'!AL430</f>
        <v>37196.283289802333</v>
      </c>
      <c r="V16" s="1147" t="str">
        <f t="shared" si="1"/>
        <v>CESAR</v>
      </c>
      <c r="W16" s="1148">
        <f t="shared" si="2"/>
        <v>5500</v>
      </c>
    </row>
    <row r="17" spans="2:23">
      <c r="B17" s="611" t="str">
        <f>'Cost x Depart'!E464</f>
        <v>CÓRDOBA</v>
      </c>
      <c r="C17" s="387">
        <f>'Cost x Depart'!H464</f>
        <v>7900</v>
      </c>
      <c r="D17" s="848">
        <f>'Cost x Depart'!S464</f>
        <v>11725411.310133336</v>
      </c>
      <c r="E17" s="848">
        <f>'Cost x Depart'!T464</f>
        <v>8835052.5272000004</v>
      </c>
      <c r="F17" s="848">
        <f>'Cost x Depart'!U464</f>
        <v>3912345.6000000001</v>
      </c>
      <c r="G17" s="848">
        <f>'Cost x Depart'!V464</f>
        <v>98661594.401541665</v>
      </c>
      <c r="H17" s="848">
        <f>'Cost x Depart'!W464</f>
        <v>396462058.60900009</v>
      </c>
      <c r="I17" s="848">
        <f>'Cost x Depart'!X464</f>
        <v>61496637.932400383</v>
      </c>
      <c r="J17" s="848">
        <f>'Cost x Depart'!Y464</f>
        <v>2929361.2103716987</v>
      </c>
      <c r="K17" s="848">
        <f>'Cost x Depart'!Z464</f>
        <v>2256214.5</v>
      </c>
      <c r="L17" s="848">
        <f>'Cost x Depart'!AA464</f>
        <v>16383862.5</v>
      </c>
      <c r="M17" s="848">
        <f>'Cost x Depart'!AB464</f>
        <v>153863272.72727281</v>
      </c>
      <c r="N17" s="848">
        <f>'Cost x Depart'!AC464</f>
        <v>582170701.31236434</v>
      </c>
      <c r="O17" s="848">
        <f>'Cost x Depart'!AD464</f>
        <v>3070491</v>
      </c>
      <c r="P17" s="848">
        <f>'Cost x Depart'!AF464</f>
        <v>91911039.748674482</v>
      </c>
      <c r="Q17" s="848">
        <f>'Cost x Depart'!AH464</f>
        <v>13849329.899040742</v>
      </c>
      <c r="R17" s="848">
        <f>'Cost x Depart'!AI464</f>
        <v>3908323.9078505985</v>
      </c>
      <c r="S17" s="848">
        <f>'Cost x Depart'!AJ464</f>
        <v>5805742.7887434</v>
      </c>
      <c r="T17" s="849">
        <f t="shared" si="0"/>
        <v>1457241439.9745934</v>
      </c>
      <c r="U17" s="850">
        <f>'Cost x Depart'!AL464</f>
        <v>36892.188353787176</v>
      </c>
      <c r="V17" s="1147" t="str">
        <f t="shared" si="1"/>
        <v>CÓRDOBA</v>
      </c>
      <c r="W17" s="1148">
        <f t="shared" si="2"/>
        <v>7900</v>
      </c>
    </row>
    <row r="18" spans="2:23">
      <c r="B18" s="611" t="str">
        <f>'Cost x Depart'!E504</f>
        <v>CUNDINAMARCA</v>
      </c>
      <c r="C18" s="387">
        <f>'Cost x Depart'!H504</f>
        <v>8500</v>
      </c>
      <c r="D18" s="848">
        <f>'Cost x Depart'!S504</f>
        <v>11725411.310133336</v>
      </c>
      <c r="E18" s="848">
        <f>'Cost x Depart'!T504</f>
        <v>8835052.5272000004</v>
      </c>
      <c r="F18" s="848">
        <f>'Cost x Depart'!U504</f>
        <v>3912345.6000000001</v>
      </c>
      <c r="G18" s="848">
        <f>'Cost x Depart'!V504</f>
        <v>106154880.05229166</v>
      </c>
      <c r="H18" s="848">
        <f>'Cost x Depart'!W504</f>
        <v>426573101.03499997</v>
      </c>
      <c r="I18" s="848">
        <f>'Cost x Depart'!X504</f>
        <v>67697072.126197726</v>
      </c>
      <c r="J18" s="848">
        <f>'Cost x Depart'!Y504</f>
        <v>3221086.4244751865</v>
      </c>
      <c r="K18" s="848">
        <f>'Cost x Depart'!Z504</f>
        <v>2403679.5</v>
      </c>
      <c r="L18" s="848">
        <f>'Cost x Depart'!AA504</f>
        <v>17595487.5</v>
      </c>
      <c r="M18" s="848">
        <f>'Cost x Depart'!AB504</f>
        <v>165549090.90909097</v>
      </c>
      <c r="N18" s="848">
        <f>'Cost x Depart'!AC504</f>
        <v>626386197.61456919</v>
      </c>
      <c r="O18" s="848">
        <f>'Cost x Depart'!AD504</f>
        <v>3297561</v>
      </c>
      <c r="P18" s="848">
        <f>'Cost x Depart'!AF504</f>
        <v>98869541.143528625</v>
      </c>
      <c r="Q18" s="848">
        <f>'Cost x Depart'!AH504</f>
        <v>14897850.095132422</v>
      </c>
      <c r="R18" s="848">
        <f>'Cost x Depart'!AI504</f>
        <v>4204219.5634615719</v>
      </c>
      <c r="S18" s="848">
        <f>'Cost x Depart'!AJ504</f>
        <v>6245290.3056043228</v>
      </c>
      <c r="T18" s="849">
        <f t="shared" si="0"/>
        <v>1567567866.7066848</v>
      </c>
      <c r="U18" s="850">
        <f>'Cost x Depart'!AL504</f>
        <v>36883.949804863172</v>
      </c>
      <c r="V18" s="1147" t="str">
        <f t="shared" si="1"/>
        <v>CUNDINAMARCA</v>
      </c>
      <c r="W18" s="1148">
        <f t="shared" si="2"/>
        <v>8500</v>
      </c>
    </row>
    <row r="19" spans="2:23">
      <c r="B19" s="611" t="str">
        <f>'Cost x Depart'!E582</f>
        <v>CHOCÓ</v>
      </c>
      <c r="C19" s="387">
        <f>'Cost x Depart'!H582</f>
        <v>6150</v>
      </c>
      <c r="D19" s="848">
        <f>'Cost x Depart'!S582</f>
        <v>11725411.310133336</v>
      </c>
      <c r="E19" s="848">
        <f>'Cost x Depart'!T582</f>
        <v>8835052.5272000004</v>
      </c>
      <c r="F19" s="848">
        <f>'Cost x Depart'!U582</f>
        <v>3912345.6000000001</v>
      </c>
      <c r="G19" s="848">
        <f>'Cost x Depart'!V582</f>
        <v>76806177.920187503</v>
      </c>
      <c r="H19" s="848">
        <f>'Cost x Depart'!W582</f>
        <v>308638184.86650002</v>
      </c>
      <c r="I19" s="848">
        <f>'Cost x Depart'!X582</f>
        <v>47873964.972691439</v>
      </c>
      <c r="J19" s="848">
        <f>'Cost x Depart'!Y582</f>
        <v>2290798.4153853417</v>
      </c>
      <c r="K19" s="848">
        <f>'Cost x Depart'!Z582</f>
        <v>1826108.25</v>
      </c>
      <c r="L19" s="848">
        <f>'Cost x Depart'!AA582</f>
        <v>12849956.25</v>
      </c>
      <c r="M19" s="848">
        <f>'Cost x Depart'!AB582</f>
        <v>119779636.3636364</v>
      </c>
      <c r="N19" s="848">
        <f>'Cost x Depart'!AC582</f>
        <v>453208837.09759992</v>
      </c>
      <c r="O19" s="848">
        <f>'Cost x Depart'!AD582</f>
        <v>2408203.5</v>
      </c>
      <c r="P19" s="848">
        <f>'Cost x Depart'!AF582</f>
        <v>71935595.379523382</v>
      </c>
      <c r="Q19" s="848">
        <f>'Cost x Depart'!AH582</f>
        <v>10839392.031894602</v>
      </c>
      <c r="R19" s="848">
        <f>'Cost x Depart'!AI582</f>
        <v>3058910.0941088302</v>
      </c>
      <c r="S19" s="848">
        <f>'Cost x Depart'!AJ582</f>
        <v>4543954.2983154431</v>
      </c>
      <c r="T19" s="849">
        <f t="shared" si="0"/>
        <v>1140532528.8771763</v>
      </c>
      <c r="U19" s="850">
        <f>'Cost x Depart'!AL582</f>
        <v>37090.488743973212</v>
      </c>
      <c r="V19" s="1147" t="str">
        <f t="shared" si="1"/>
        <v>CHOCÓ</v>
      </c>
      <c r="W19" s="1148">
        <f t="shared" si="2"/>
        <v>6150</v>
      </c>
    </row>
    <row r="20" spans="2:23">
      <c r="B20" s="611" t="str">
        <f>'Cost x Depart'!E618</f>
        <v>HUILA</v>
      </c>
      <c r="C20" s="387">
        <f>'Cost x Depart'!H618</f>
        <v>4850</v>
      </c>
      <c r="D20" s="848">
        <f>'Cost x Depart'!S618</f>
        <v>8794058.4826000016</v>
      </c>
      <c r="E20" s="848">
        <f>'Cost x Depart'!T618</f>
        <v>6626289.3953999998</v>
      </c>
      <c r="F20" s="848">
        <f>'Cost x Depart'!U618</f>
        <v>2934259.1999999997</v>
      </c>
      <c r="G20" s="848">
        <f>'Cost x Depart'!V618</f>
        <v>60570725.676895835</v>
      </c>
      <c r="H20" s="848">
        <f>'Cost x Depart'!W618</f>
        <v>243397592.94349995</v>
      </c>
      <c r="I20" s="848">
        <f>'Cost x Depart'!X618</f>
        <v>23161370.591451406</v>
      </c>
      <c r="J20" s="848">
        <f>'Cost x Depart'!Y618</f>
        <v>1107179.1779508886</v>
      </c>
      <c r="K20" s="848">
        <f>'Cost x Depart'!Z618</f>
        <v>1427952.75</v>
      </c>
      <c r="L20" s="848">
        <f>'Cost x Depart'!AA618</f>
        <v>10117068.75</v>
      </c>
      <c r="M20" s="848">
        <f>'Cost x Depart'!AB618</f>
        <v>94460363.636363685</v>
      </c>
      <c r="N20" s="848">
        <f>'Cost x Depart'!AC618</f>
        <v>357408595.1094895</v>
      </c>
      <c r="O20" s="848">
        <f>'Cost x Depart'!AD618</f>
        <v>1896034.5</v>
      </c>
      <c r="P20" s="848">
        <f>'Cost x Depart'!AF618</f>
        <v>55615252.079635113</v>
      </c>
      <c r="Q20" s="848">
        <f>'Cost x Depart'!AH618</f>
        <v>8380211.7305531465</v>
      </c>
      <c r="R20" s="848">
        <f>'Cost x Depart'!AI618</f>
        <v>2364921.7758643669</v>
      </c>
      <c r="S20" s="848">
        <f>'Cost x Depart'!AJ618</f>
        <v>3513047.5031988155</v>
      </c>
      <c r="T20" s="849">
        <f t="shared" si="0"/>
        <v>881774923.3029027</v>
      </c>
      <c r="U20" s="850">
        <f>'Cost x Depart'!AL618</f>
        <v>36361.852507336196</v>
      </c>
      <c r="V20" s="1147" t="str">
        <f t="shared" si="1"/>
        <v>HUILA</v>
      </c>
      <c r="W20" s="1148">
        <f t="shared" si="2"/>
        <v>4850</v>
      </c>
    </row>
    <row r="21" spans="2:23">
      <c r="B21" s="611" t="str">
        <f>'Cost x Depart'!E654</f>
        <v>LA GUAJIRA</v>
      </c>
      <c r="C21" s="387">
        <f>'Cost x Depart'!H654</f>
        <v>3000</v>
      </c>
      <c r="D21" s="848">
        <f>'Cost x Depart'!S654</f>
        <v>8794058.4826000016</v>
      </c>
      <c r="E21" s="848">
        <f>'Cost x Depart'!T654</f>
        <v>6626289.3953999998</v>
      </c>
      <c r="F21" s="848">
        <f>'Cost x Depart'!U654</f>
        <v>2934259.1999999997</v>
      </c>
      <c r="G21" s="848">
        <f>'Cost x Depart'!V654</f>
        <v>37466428.253749996</v>
      </c>
      <c r="H21" s="848">
        <f>'Cost x Depart'!W654</f>
        <v>150555212.13000003</v>
      </c>
      <c r="I21" s="848">
        <f>'Cost x Depart'!X654</f>
        <v>12789895.332025357</v>
      </c>
      <c r="J21" s="848">
        <f>'Cost x Depart'!Y654</f>
        <v>618711.18668672652</v>
      </c>
      <c r="K21" s="848">
        <f>'Cost x Depart'!Z654</f>
        <v>973269</v>
      </c>
      <c r="L21" s="848">
        <f>'Cost x Depart'!AA654</f>
        <v>6381225</v>
      </c>
      <c r="M21" s="848">
        <f>'Cost x Depart'!AB654</f>
        <v>58429090.909090906</v>
      </c>
      <c r="N21" s="848">
        <f>'Cost x Depart'!AC654</f>
        <v>221077481.51102442</v>
      </c>
      <c r="O21" s="848">
        <f>'Cost x Depart'!AD654</f>
        <v>1195902</v>
      </c>
      <c r="P21" s="848">
        <f>'Cost x Depart'!AF654</f>
        <v>34787164.834439553</v>
      </c>
      <c r="Q21" s="848">
        <f>'Cost x Depart'!AH654</f>
        <v>5241796.0166902635</v>
      </c>
      <c r="R21" s="848">
        <f>'Cost x Depart'!AI654</f>
        <v>1479251.1147796095</v>
      </c>
      <c r="S21" s="848">
        <f>'Cost x Depart'!AJ654</f>
        <v>2197400.1374659473</v>
      </c>
      <c r="T21" s="849">
        <f t="shared" si="0"/>
        <v>551547434.50395274</v>
      </c>
      <c r="U21" s="850">
        <f>'Cost x Depart'!AL654</f>
        <v>36769.828966930181</v>
      </c>
      <c r="V21" s="1147" t="str">
        <f t="shared" si="1"/>
        <v>LA GUAJIRA</v>
      </c>
      <c r="W21" s="1148">
        <f t="shared" si="2"/>
        <v>3000</v>
      </c>
    </row>
    <row r="22" spans="2:23">
      <c r="B22" s="611" t="str">
        <f>'Cost x Depart'!E679</f>
        <v>MAGDALENA</v>
      </c>
      <c r="C22" s="387">
        <f>'Cost x Depart'!H679</f>
        <v>9600</v>
      </c>
      <c r="D22" s="848">
        <f>'Cost x Depart'!S679</f>
        <v>14656764.137666669</v>
      </c>
      <c r="E22" s="848">
        <f>'Cost x Depart'!T679</f>
        <v>11043815.659</v>
      </c>
      <c r="F22" s="848">
        <f>'Cost x Depart'!U679</f>
        <v>4890432</v>
      </c>
      <c r="G22" s="848">
        <f>'Cost x Depart'!V679</f>
        <v>119892570.412</v>
      </c>
      <c r="H22" s="848">
        <f>'Cost x Depart'!W679</f>
        <v>481776678.81600022</v>
      </c>
      <c r="I22" s="848">
        <f>'Cost x Depart'!X679</f>
        <v>74730091.664689079</v>
      </c>
      <c r="J22" s="848">
        <f>'Cost x Depart'!Y679</f>
        <v>3561355.9308953392</v>
      </c>
      <c r="K22" s="848">
        <f>'Cost x Depart'!Z679</f>
        <v>2752680</v>
      </c>
      <c r="L22" s="848">
        <f>'Cost x Depart'!AA679</f>
        <v>19924500</v>
      </c>
      <c r="M22" s="848">
        <f>'Cost x Depart'!AB679</f>
        <v>186973090.90909097</v>
      </c>
      <c r="N22" s="848">
        <f>'Cost x Depart'!AC679</f>
        <v>707447940.83527792</v>
      </c>
      <c r="O22" s="848">
        <f>'Cost x Depart'!AD679</f>
        <v>3734040</v>
      </c>
      <c r="P22" s="848">
        <f>'Cost x Depart'!AF679</f>
        <v>111749801.2849765</v>
      </c>
      <c r="Q22" s="848">
        <f>'Cost x Depart'!AH679</f>
        <v>16838672.137535103</v>
      </c>
      <c r="R22" s="848">
        <f>'Cost x Depart'!AI679</f>
        <v>4751925.5712252557</v>
      </c>
      <c r="S22" s="848">
        <f>'Cost x Depart'!AJ679</f>
        <v>7058897.4374334281</v>
      </c>
      <c r="T22" s="849">
        <f t="shared" si="0"/>
        <v>1771783256.7957904</v>
      </c>
      <c r="U22" s="850">
        <f>'Cost x Depart'!AL679</f>
        <v>36912.151183245631</v>
      </c>
      <c r="V22" s="1147" t="str">
        <f t="shared" si="1"/>
        <v>MAGDALENA</v>
      </c>
      <c r="W22" s="1148">
        <f t="shared" si="2"/>
        <v>9600</v>
      </c>
    </row>
    <row r="23" spans="2:23">
      <c r="B23" s="611" t="str">
        <f>'Cost x Depart'!E725</f>
        <v>META</v>
      </c>
      <c r="C23" s="387">
        <f>'Cost x Depart'!H725</f>
        <v>3400</v>
      </c>
      <c r="D23" s="848">
        <f>'Cost x Depart'!S725</f>
        <v>8794058.4826000016</v>
      </c>
      <c r="E23" s="848">
        <f>'Cost x Depart'!T725</f>
        <v>6626289.3953999998</v>
      </c>
      <c r="F23" s="848">
        <f>'Cost x Depart'!U725</f>
        <v>2934259.1999999997</v>
      </c>
      <c r="G23" s="848">
        <f>'Cost x Depart'!V725</f>
        <v>42461952.020916671</v>
      </c>
      <c r="H23" s="848">
        <f>'Cost x Depart'!W725</f>
        <v>170629240.414</v>
      </c>
      <c r="I23" s="848">
        <f>'Cost x Depart'!X725</f>
        <v>14495214.709628738</v>
      </c>
      <c r="J23" s="848">
        <f>'Cost x Depart'!Y725</f>
        <v>698648.03251188505</v>
      </c>
      <c r="K23" s="848">
        <f>'Cost x Depart'!Z725</f>
        <v>1071579</v>
      </c>
      <c r="L23" s="848">
        <f>'Cost x Depart'!AA725</f>
        <v>7188975</v>
      </c>
      <c r="M23" s="848">
        <f>'Cost x Depart'!AB725</f>
        <v>66219636.36363636</v>
      </c>
      <c r="N23" s="848">
        <f>'Cost x Depart'!AC725</f>
        <v>250554479.04582769</v>
      </c>
      <c r="O23" s="848">
        <f>'Cost x Depart'!AD725</f>
        <v>1347282</v>
      </c>
      <c r="P23" s="848">
        <f>'Cost x Depart'!AF725</f>
        <v>39251980.536019713</v>
      </c>
      <c r="Q23" s="848">
        <f>'Cost x Depart'!AH725</f>
        <v>5914562.9199772263</v>
      </c>
      <c r="R23" s="848">
        <f>'Cost x Depart'!AI725</f>
        <v>1669108.0242253994</v>
      </c>
      <c r="S23" s="848">
        <f>'Cost x Depart'!AJ725</f>
        <v>2479429.0605789744</v>
      </c>
      <c r="T23" s="849">
        <f t="shared" si="0"/>
        <v>622336694.2053225</v>
      </c>
      <c r="U23" s="850">
        <f>'Cost x Depart'!AL725</f>
        <v>36608.040835607208</v>
      </c>
      <c r="V23" s="1147" t="str">
        <f t="shared" si="1"/>
        <v>META</v>
      </c>
      <c r="W23" s="1148">
        <f t="shared" si="2"/>
        <v>3400</v>
      </c>
    </row>
    <row r="24" spans="2:23">
      <c r="B24" s="611" t="s">
        <v>484</v>
      </c>
      <c r="C24" s="387">
        <f t="shared" ref="C24:T24" si="5">+C6+C7</f>
        <v>16400</v>
      </c>
      <c r="D24" s="848">
        <f t="shared" si="5"/>
        <v>23450822.620266668</v>
      </c>
      <c r="E24" s="848">
        <f t="shared" si="5"/>
        <v>17670105.054400001</v>
      </c>
      <c r="F24" s="848">
        <f t="shared" si="5"/>
        <v>7824691.1999999993</v>
      </c>
      <c r="G24" s="848">
        <f t="shared" si="5"/>
        <v>204816474.45383334</v>
      </c>
      <c r="H24" s="848">
        <f t="shared" si="5"/>
        <v>823035159.6439997</v>
      </c>
      <c r="I24" s="848">
        <f t="shared" si="5"/>
        <v>126427757.71070996</v>
      </c>
      <c r="J24" s="848">
        <f t="shared" si="5"/>
        <v>6018809.2580876155</v>
      </c>
      <c r="K24" s="848">
        <f t="shared" si="5"/>
        <v>4659894</v>
      </c>
      <c r="L24" s="848">
        <f t="shared" si="5"/>
        <v>33979350</v>
      </c>
      <c r="M24" s="848">
        <f t="shared" si="5"/>
        <v>319412363.63636357</v>
      </c>
      <c r="N24" s="848">
        <f t="shared" si="5"/>
        <v>1208556898.9269321</v>
      </c>
      <c r="O24" s="848">
        <f t="shared" si="5"/>
        <v>6368052</v>
      </c>
      <c r="P24" s="848">
        <f t="shared" si="5"/>
        <v>190582095.92756462</v>
      </c>
      <c r="Q24" s="848">
        <f t="shared" si="5"/>
        <v>28717271.903014641</v>
      </c>
      <c r="R24" s="848">
        <f t="shared" si="5"/>
        <v>8104103.3151049651</v>
      </c>
      <c r="S24" s="848">
        <f t="shared" si="5"/>
        <v>12038495.398601107</v>
      </c>
      <c r="T24" s="849">
        <f t="shared" si="5"/>
        <v>3021662345.0488777</v>
      </c>
      <c r="U24" s="850">
        <f>+T24/C24/'Parametros Generales'!$C$6</f>
        <v>36849.540793278997</v>
      </c>
      <c r="V24" s="1147" t="str">
        <f t="shared" si="1"/>
        <v>NARIÑO</v>
      </c>
      <c r="W24" s="1148">
        <f t="shared" si="2"/>
        <v>16400</v>
      </c>
    </row>
    <row r="25" spans="2:23">
      <c r="B25" s="611" t="str">
        <f>'Cost x Depart'!E838</f>
        <v>NORTE DE SANTANDER</v>
      </c>
      <c r="C25" s="387">
        <f>'Cost x Depart'!H838</f>
        <v>4700</v>
      </c>
      <c r="D25" s="848">
        <f>'Cost x Depart'!S838</f>
        <v>8794058.4826000016</v>
      </c>
      <c r="E25" s="848">
        <f>'Cost x Depart'!T838</f>
        <v>6626289.3953999998</v>
      </c>
      <c r="F25" s="848">
        <f>'Cost x Depart'!U838</f>
        <v>2934259.1999999997</v>
      </c>
      <c r="G25" s="848">
        <f>'Cost x Depart'!V838</f>
        <v>58697404.264208332</v>
      </c>
      <c r="H25" s="848">
        <f>'Cost x Depart'!W838</f>
        <v>235869832.33699995</v>
      </c>
      <c r="I25" s="848">
        <f>'Cost x Depart'!X838</f>
        <v>41680029.943940483</v>
      </c>
      <c r="J25" s="848">
        <f>'Cost x Depart'!Y838</f>
        <v>1993657.8152706632</v>
      </c>
      <c r="K25" s="848">
        <f>'Cost x Depart'!Z838</f>
        <v>1391086.5</v>
      </c>
      <c r="L25" s="848">
        <f>'Cost x Depart'!AA838</f>
        <v>9814162.5</v>
      </c>
      <c r="M25" s="848">
        <f>'Cost x Depart'!AB838</f>
        <v>91538909.090909123</v>
      </c>
      <c r="N25" s="848">
        <f>'Cost x Depart'!AC838</f>
        <v>346354721.03393835</v>
      </c>
      <c r="O25" s="848">
        <f>'Cost x Depart'!AD838</f>
        <v>1839267</v>
      </c>
      <c r="P25" s="848">
        <f>'Cost x Depart'!AF838</f>
        <v>55316056.913083784</v>
      </c>
      <c r="Q25" s="848">
        <f>'Cost x Depart'!AH838</f>
        <v>8335128.4350415478</v>
      </c>
      <c r="R25" s="848">
        <f>'Cost x Depart'!AI838</f>
        <v>2352199.1298607592</v>
      </c>
      <c r="S25" s="848">
        <f>'Cost x Depart'!AJ838</f>
        <v>3494148.2481650119</v>
      </c>
      <c r="T25" s="849">
        <f t="shared" si="0"/>
        <v>877031210.28941798</v>
      </c>
      <c r="U25" s="850">
        <f>'Cost x Depart'!AL838</f>
        <v>37320.477033592251</v>
      </c>
      <c r="V25" s="1147" t="str">
        <f t="shared" si="1"/>
        <v>NORTE DE SANTANDER</v>
      </c>
      <c r="W25" s="1148">
        <f t="shared" si="2"/>
        <v>4700</v>
      </c>
    </row>
    <row r="26" spans="2:23">
      <c r="B26" s="611" t="str">
        <f>'Cost x Depart'!E871</f>
        <v>QUINDÍO</v>
      </c>
      <c r="C26" s="387">
        <f>'Cost x Depart'!H871</f>
        <v>2800</v>
      </c>
      <c r="D26" s="848">
        <f>'Cost x Depart'!S871</f>
        <v>8794058.4826000016</v>
      </c>
      <c r="E26" s="848">
        <f>'Cost x Depart'!T871</f>
        <v>6626289.3953999998</v>
      </c>
      <c r="F26" s="848">
        <f>'Cost x Depart'!U871</f>
        <v>2934259.1999999997</v>
      </c>
      <c r="G26" s="848">
        <f>'Cost x Depart'!V871</f>
        <v>34968666.370166667</v>
      </c>
      <c r="H26" s="848">
        <f>'Cost x Depart'!W871</f>
        <v>140518197.98800001</v>
      </c>
      <c r="I26" s="848">
        <f>'Cost x Depart'!X871</f>
        <v>21796276.735534314</v>
      </c>
      <c r="J26" s="848">
        <f>'Cost x Depart'!Y871</f>
        <v>1056730.2024459941</v>
      </c>
      <c r="K26" s="848">
        <f>'Cost x Depart'!Z871</f>
        <v>924114</v>
      </c>
      <c r="L26" s="848">
        <f>'Cost x Depart'!AA871</f>
        <v>5977350</v>
      </c>
      <c r="M26" s="848">
        <f>'Cost x Depart'!AB871</f>
        <v>54533818.181818202</v>
      </c>
      <c r="N26" s="848">
        <f>'Cost x Depart'!AC871</f>
        <v>206338982.74362281</v>
      </c>
      <c r="O26" s="848">
        <f>'Cost x Depart'!AD871</f>
        <v>1120212</v>
      </c>
      <c r="P26" s="848">
        <f>'Cost x Depart'!AF871</f>
        <v>33262843.438021779</v>
      </c>
      <c r="Q26" s="848">
        <f>'Cost x Depart'!AH871</f>
        <v>5012108.37580531</v>
      </c>
      <c r="R26" s="848">
        <f>'Cost x Depart'!AI871</f>
        <v>1414432.5492062208</v>
      </c>
      <c r="S26" s="848">
        <f>'Cost x Depart'!AJ871</f>
        <v>2101113.3586504851</v>
      </c>
      <c r="T26" s="849">
        <f t="shared" si="0"/>
        <v>527379453.02127177</v>
      </c>
      <c r="U26" s="850">
        <f>'Cost x Depart'!AL871</f>
        <v>37669.960930090841</v>
      </c>
      <c r="V26" s="1147" t="str">
        <f t="shared" si="1"/>
        <v>QUINDÍO</v>
      </c>
      <c r="W26" s="1148">
        <f t="shared" si="2"/>
        <v>2800</v>
      </c>
    </row>
    <row r="27" spans="2:23">
      <c r="B27" s="611" t="str">
        <f>'Cost x Depart'!E897</f>
        <v>RISARALDA</v>
      </c>
      <c r="C27" s="387">
        <f>'Cost x Depart'!H897</f>
        <v>2300</v>
      </c>
      <c r="D27" s="848">
        <f>'Cost x Depart'!S897</f>
        <v>8794058.4826000016</v>
      </c>
      <c r="E27" s="848">
        <f>'Cost x Depart'!T897</f>
        <v>6626289.3953999998</v>
      </c>
      <c r="F27" s="848">
        <f>'Cost x Depart'!U897</f>
        <v>2934259.1999999997</v>
      </c>
      <c r="G27" s="848">
        <f>'Cost x Depart'!V897</f>
        <v>28724261.661208332</v>
      </c>
      <c r="H27" s="848">
        <f>'Cost x Depart'!W897</f>
        <v>115425662.63300003</v>
      </c>
      <c r="I27" s="848">
        <f>'Cost x Depart'!X897</f>
        <v>10983742.754708908</v>
      </c>
      <c r="J27" s="848">
        <f>'Cost x Depart'!Y897</f>
        <v>536352.87310358463</v>
      </c>
      <c r="K27" s="848">
        <f>'Cost x Depart'!Z897</f>
        <v>801226.5</v>
      </c>
      <c r="L27" s="848">
        <f>'Cost x Depart'!AA897</f>
        <v>4967662.5</v>
      </c>
      <c r="M27" s="848">
        <f>'Cost x Depart'!AB897</f>
        <v>44795636.363636367</v>
      </c>
      <c r="N27" s="848">
        <f>'Cost x Depart'!AC897</f>
        <v>169492735.82511869</v>
      </c>
      <c r="O27" s="848">
        <f>'Cost x Depart'!AD897</f>
        <v>930987</v>
      </c>
      <c r="P27" s="848">
        <f>'Cost x Depart'!AF897</f>
        <v>27058381.950431149</v>
      </c>
      <c r="Q27" s="848">
        <f>'Cost x Depart'!AH897</f>
        <v>4077208.3439647402</v>
      </c>
      <c r="R27" s="848">
        <f>'Cost x Depart'!AI897</f>
        <v>1150600.8568045639</v>
      </c>
      <c r="S27" s="848">
        <f>'Cost x Depart'!AJ897</f>
        <v>1709196.2653599055</v>
      </c>
      <c r="T27" s="849">
        <f t="shared" si="0"/>
        <v>429008262.60533625</v>
      </c>
      <c r="U27" s="850">
        <f>'Cost x Depart'!AL897</f>
        <v>37305.066313507501</v>
      </c>
      <c r="V27" s="1147" t="str">
        <f t="shared" si="1"/>
        <v>RISARALDA</v>
      </c>
      <c r="W27" s="1148">
        <f t="shared" si="2"/>
        <v>2300</v>
      </c>
    </row>
    <row r="28" spans="2:23">
      <c r="B28" s="611" t="str">
        <f>'Cost x Depart'!E919</f>
        <v>SANTANDER</v>
      </c>
      <c r="C28" s="387">
        <f>'Cost x Depart'!H919</f>
        <v>6050</v>
      </c>
      <c r="D28" s="848">
        <f>'Cost x Depart'!S919</f>
        <v>11725411.310133336</v>
      </c>
      <c r="E28" s="848">
        <f>'Cost x Depart'!T919</f>
        <v>8835052.5272000004</v>
      </c>
      <c r="F28" s="848">
        <f>'Cost x Depart'!U919</f>
        <v>3912345.6000000001</v>
      </c>
      <c r="G28" s="848">
        <f>'Cost x Depart'!V919</f>
        <v>75557296.978395835</v>
      </c>
      <c r="H28" s="848">
        <f>'Cost x Depart'!W919</f>
        <v>303619677.79549998</v>
      </c>
      <c r="I28" s="848">
        <f>'Cost x Depart'!X919</f>
        <v>47095526.517850928</v>
      </c>
      <c r="J28" s="848">
        <f>'Cost x Depart'!Y919</f>
        <v>2254309.1128146928</v>
      </c>
      <c r="K28" s="848">
        <f>'Cost x Depart'!Z919</f>
        <v>1801530.75</v>
      </c>
      <c r="L28" s="848">
        <f>'Cost x Depart'!AA919</f>
        <v>12648018.75</v>
      </c>
      <c r="M28" s="848">
        <f>'Cost x Depart'!AB919</f>
        <v>117832000.00000009</v>
      </c>
      <c r="N28" s="848">
        <f>'Cost x Depart'!AC919</f>
        <v>445839587.71389931</v>
      </c>
      <c r="O28" s="848">
        <f>'Cost x Depart'!AD919</f>
        <v>2370358.5</v>
      </c>
      <c r="P28" s="848">
        <f>'Cost x Depart'!AF919</f>
        <v>70794141.415571913</v>
      </c>
      <c r="Q28" s="848">
        <f>'Cost x Depart'!AH919</f>
        <v>10667395.582343398</v>
      </c>
      <c r="R28" s="848">
        <f>'Cost x Depart'!AI919</f>
        <v>3010372.1618950157</v>
      </c>
      <c r="S28" s="848">
        <f>'Cost x Depart'!AJ919</f>
        <v>4471852.098862418</v>
      </c>
      <c r="T28" s="849">
        <f t="shared" si="0"/>
        <v>1122434876.814467</v>
      </c>
      <c r="U28" s="850">
        <f>'Cost x Depart'!AL919</f>
        <v>37105.285183949323</v>
      </c>
      <c r="V28" s="1147" t="str">
        <f t="shared" si="1"/>
        <v>SANTANDER</v>
      </c>
      <c r="W28" s="1148">
        <f t="shared" si="2"/>
        <v>6050</v>
      </c>
    </row>
    <row r="29" spans="2:23">
      <c r="B29" s="611" t="str">
        <f>'Cost x Depart'!E953</f>
        <v>SUCRE</v>
      </c>
      <c r="C29" s="387">
        <f>'Cost x Depart'!H953</f>
        <v>6000</v>
      </c>
      <c r="D29" s="848">
        <f>'Cost x Depart'!S953</f>
        <v>11725411.310133336</v>
      </c>
      <c r="E29" s="848">
        <f>'Cost x Depart'!T953</f>
        <v>8835052.5272000004</v>
      </c>
      <c r="F29" s="848">
        <f>'Cost x Depart'!U953</f>
        <v>3912345.6000000001</v>
      </c>
      <c r="G29" s="848">
        <f>'Cost x Depart'!V953</f>
        <v>74932856.507499993</v>
      </c>
      <c r="H29" s="848">
        <f>'Cost x Depart'!W953</f>
        <v>301110424.25999999</v>
      </c>
      <c r="I29" s="848">
        <f>'Cost x Depart'!X953</f>
        <v>46706307.290430672</v>
      </c>
      <c r="J29" s="848">
        <f>'Cost x Depart'!Y953</f>
        <v>2236064.4615293685</v>
      </c>
      <c r="K29" s="848">
        <f>'Cost x Depart'!Z953</f>
        <v>1789242</v>
      </c>
      <c r="L29" s="848">
        <f>'Cost x Depart'!AA953</f>
        <v>12547050</v>
      </c>
      <c r="M29" s="848">
        <f>'Cost x Depart'!AB953</f>
        <v>116858181.8181819</v>
      </c>
      <c r="N29" s="848">
        <f>'Cost x Depart'!AC953</f>
        <v>442154963.02204889</v>
      </c>
      <c r="O29" s="848">
        <f>'Cost x Depart'!AD953</f>
        <v>2351436</v>
      </c>
      <c r="P29" s="848">
        <f>'Cost x Depart'!AF953</f>
        <v>70223414.433596164</v>
      </c>
      <c r="Q29" s="848">
        <f>'Cost x Depart'!AH953</f>
        <v>10581397.357567793</v>
      </c>
      <c r="R29" s="848">
        <f>'Cost x Depart'!AI953</f>
        <v>2986103.1957881083</v>
      </c>
      <c r="S29" s="848">
        <f>'Cost x Depart'!AJ953</f>
        <v>4435800.9991359049</v>
      </c>
      <c r="T29" s="849">
        <f t="shared" si="0"/>
        <v>1113386050.7831123</v>
      </c>
      <c r="U29" s="850">
        <f>'Cost x Depart'!AL953</f>
        <v>37112.868359437081</v>
      </c>
      <c r="V29" s="1147" t="str">
        <f t="shared" si="1"/>
        <v>SUCRE</v>
      </c>
      <c r="W29" s="1148">
        <f t="shared" si="2"/>
        <v>6000</v>
      </c>
    </row>
    <row r="30" spans="2:23">
      <c r="B30" s="611" t="str">
        <f>'Cost x Depart'!E993</f>
        <v>TOLIMA</v>
      </c>
      <c r="C30" s="387">
        <f>'Cost x Depart'!H993</f>
        <v>6300</v>
      </c>
      <c r="D30" s="848">
        <f>'Cost x Depart'!S993</f>
        <v>11725411.310133336</v>
      </c>
      <c r="E30" s="848">
        <f>'Cost x Depart'!T993</f>
        <v>8835052.5272000004</v>
      </c>
      <c r="F30" s="848">
        <f>'Cost x Depart'!U993</f>
        <v>3912345.6000000001</v>
      </c>
      <c r="G30" s="848">
        <f>'Cost x Depart'!V993</f>
        <v>78679499.332874998</v>
      </c>
      <c r="H30" s="848">
        <f>'Cost x Depart'!W993</f>
        <v>316165945.47299999</v>
      </c>
      <c r="I30" s="848">
        <f>'Cost x Depart'!X993</f>
        <v>24101672.866883922</v>
      </c>
      <c r="J30" s="848">
        <f>'Cost x Depart'!Y993</f>
        <v>1152719.889794121</v>
      </c>
      <c r="K30" s="848">
        <f>'Cost x Depart'!Z993</f>
        <v>1862974.5</v>
      </c>
      <c r="L30" s="848">
        <f>'Cost x Depart'!AA993</f>
        <v>13152862.5</v>
      </c>
      <c r="M30" s="848">
        <f>'Cost x Depart'!AB993</f>
        <v>122701090.90909101</v>
      </c>
      <c r="N30" s="848">
        <f>'Cost x Depart'!AC993</f>
        <v>464262711.17315137</v>
      </c>
      <c r="O30" s="848">
        <f>'Cost x Depart'!AD993</f>
        <v>2464971</v>
      </c>
      <c r="P30" s="848">
        <f>'Cost x Depart'!AF993</f>
        <v>71857682.110125825</v>
      </c>
      <c r="Q30" s="848">
        <f>'Cost x Depart'!AH993</f>
        <v>10827651.912597179</v>
      </c>
      <c r="R30" s="848">
        <f>'Cost x Depart'!AI993</f>
        <v>3055596.9959831</v>
      </c>
      <c r="S30" s="848">
        <f>'Cost x Depart'!AJ993</f>
        <v>4539032.7524033394</v>
      </c>
      <c r="T30" s="849">
        <f t="shared" si="0"/>
        <v>1139297220.8532381</v>
      </c>
      <c r="U30" s="850">
        <f>'Cost x Depart'!AL993</f>
        <v>36168.165741372635</v>
      </c>
      <c r="V30" s="1147" t="str">
        <f t="shared" si="1"/>
        <v>TOLIMA</v>
      </c>
      <c r="W30" s="1148">
        <f t="shared" si="2"/>
        <v>6300</v>
      </c>
    </row>
    <row r="31" spans="2:23">
      <c r="B31" s="611" t="str">
        <f>'Cost x Depart'!E1038</f>
        <v>VALLE DEL CAUCA</v>
      </c>
      <c r="C31" s="387">
        <f>'Cost x Depart'!H1038</f>
        <v>11750</v>
      </c>
      <c r="D31" s="848">
        <f>'Cost x Depart'!S1038</f>
        <v>14656764.137666669</v>
      </c>
      <c r="E31" s="848">
        <f>'Cost x Depart'!T1038</f>
        <v>11043815.659</v>
      </c>
      <c r="F31" s="848">
        <f>'Cost x Depart'!U1038</f>
        <v>4890432</v>
      </c>
      <c r="G31" s="848">
        <f>'Cost x Depart'!V1038</f>
        <v>146743510.66052082</v>
      </c>
      <c r="H31" s="848">
        <f>'Cost x Depart'!W1038</f>
        <v>589674580.84250009</v>
      </c>
      <c r="I31" s="848">
        <f>'Cost x Depart'!X1038</f>
        <v>108610277.50786565</v>
      </c>
      <c r="J31" s="848">
        <f>'Cost x Depart'!Y1038</f>
        <v>5160432.4672287777</v>
      </c>
      <c r="K31" s="848">
        <f>'Cost x Depart'!Z1038</f>
        <v>3281096.25</v>
      </c>
      <c r="L31" s="848">
        <f>'Cost x Depart'!AA1038</f>
        <v>24266156.25</v>
      </c>
      <c r="M31" s="848">
        <f>'Cost x Depart'!AB1038</f>
        <v>228847272.72727278</v>
      </c>
      <c r="N31" s="848">
        <f>'Cost x Depart'!AC1038</f>
        <v>865886802.58484554</v>
      </c>
      <c r="O31" s="848">
        <f>'Cost x Depart'!AD1038</f>
        <v>4547707.5</v>
      </c>
      <c r="P31" s="848">
        <f>'Cost x Depart'!AF1038</f>
        <v>137521206.12820271</v>
      </c>
      <c r="Q31" s="848">
        <f>'Cost x Depart'!AH1038</f>
        <v>20721956.328547895</v>
      </c>
      <c r="R31" s="848">
        <f>'Cost x Depart'!AI1038</f>
        <v>5847800.4298178582</v>
      </c>
      <c r="S31" s="848">
        <f>'Cost x Depart'!AJ1038</f>
        <v>8686799.2458938751</v>
      </c>
      <c r="T31" s="849">
        <f t="shared" si="0"/>
        <v>2180386610.7193627</v>
      </c>
      <c r="U31" s="850">
        <f>'Cost x Depart'!AL1038</f>
        <v>37112.963586712562</v>
      </c>
      <c r="V31" s="1147" t="str">
        <f t="shared" si="1"/>
        <v>VALLE DEL CAUCA</v>
      </c>
      <c r="W31" s="1148">
        <f t="shared" si="2"/>
        <v>11750</v>
      </c>
    </row>
    <row r="32" spans="2:23">
      <c r="B32" s="611" t="str">
        <f>'Cost x Depart'!E1095</f>
        <v>ARAUCA</v>
      </c>
      <c r="C32" s="387">
        <f>'Cost x Depart'!H1095</f>
        <v>1900</v>
      </c>
      <c r="D32" s="848">
        <f>'Cost x Depart'!S1095</f>
        <v>5862705.6550666681</v>
      </c>
      <c r="E32" s="848">
        <f>'Cost x Depart'!T1095</f>
        <v>4417526.2636000002</v>
      </c>
      <c r="F32" s="848">
        <f>'Cost x Depart'!U1095</f>
        <v>1956172.8</v>
      </c>
      <c r="G32" s="848">
        <f>'Cost x Depart'!V1095</f>
        <v>23728737.894041665</v>
      </c>
      <c r="H32" s="848">
        <f>'Cost x Depart'!W1095</f>
        <v>95351634.349000007</v>
      </c>
      <c r="I32" s="848">
        <f>'Cost x Depart'!X1095</f>
        <v>5545825.9842184624</v>
      </c>
      <c r="J32" s="848">
        <f>'Cost x Depart'!Y1095</f>
        <v>268717.16035374324</v>
      </c>
      <c r="K32" s="848">
        <f>'Cost x Depart'!Z1095</f>
        <v>624268.5</v>
      </c>
      <c r="L32" s="848">
        <f>'Cost x Depart'!AA1095</f>
        <v>4052212.5</v>
      </c>
      <c r="M32" s="848">
        <f>'Cost x Depart'!AB1095</f>
        <v>37005090.909090921</v>
      </c>
      <c r="N32" s="848">
        <f>'Cost x Depart'!AC1095</f>
        <v>140015738.29031545</v>
      </c>
      <c r="O32" s="848">
        <f>'Cost x Depart'!AD1095</f>
        <v>759423</v>
      </c>
      <c r="P32" s="848">
        <f>'Cost x Depart'!AF1095</f>
        <v>21891781.651439555</v>
      </c>
      <c r="Q32" s="848">
        <f>'Cost x Depart'!AH1095</f>
        <v>3298695.2056858414</v>
      </c>
      <c r="R32" s="848">
        <f>'Cost x Depart'!AI1095</f>
        <v>930902.03143959329</v>
      </c>
      <c r="S32" s="848">
        <f>'Cost x Depart'!AJ1095</f>
        <v>1382837.7287770077</v>
      </c>
      <c r="T32" s="849">
        <f t="shared" si="0"/>
        <v>347092269.92302889</v>
      </c>
      <c r="U32" s="850">
        <f>'Cost x Depart'!AL1095</f>
        <v>36536.028412950414</v>
      </c>
      <c r="V32" s="1147" t="str">
        <f t="shared" si="1"/>
        <v>ARAUCA</v>
      </c>
      <c r="W32" s="1148">
        <f t="shared" si="2"/>
        <v>1900</v>
      </c>
    </row>
    <row r="33" spans="2:23">
      <c r="B33" s="611" t="str">
        <f>'Cost x Depart'!E1119</f>
        <v>CASANARE</v>
      </c>
      <c r="C33" s="387">
        <f>'Cost x Depart'!H1119</f>
        <v>2400</v>
      </c>
      <c r="D33" s="848">
        <f>'Cost x Depart'!S1119</f>
        <v>8794058.4826000016</v>
      </c>
      <c r="E33" s="848">
        <f>'Cost x Depart'!T1119</f>
        <v>6626289.3953999998</v>
      </c>
      <c r="F33" s="848">
        <f>'Cost x Depart'!U1119</f>
        <v>2934259.1999999997</v>
      </c>
      <c r="G33" s="848">
        <f>'Cost x Depart'!V1119</f>
        <v>29973142.603</v>
      </c>
      <c r="H33" s="848">
        <f>'Cost x Depart'!W1119</f>
        <v>120444169.70400004</v>
      </c>
      <c r="I33" s="848">
        <f>'Cost x Depart'!X1119</f>
        <v>16373281.125031916</v>
      </c>
      <c r="J33" s="848">
        <f>'Cost x Depart'!Y1119</f>
        <v>798197.45484530588</v>
      </c>
      <c r="K33" s="848">
        <f>'Cost x Depart'!Z1119</f>
        <v>825804</v>
      </c>
      <c r="L33" s="848">
        <f>'Cost x Depart'!AA1119</f>
        <v>5169600</v>
      </c>
      <c r="M33" s="848">
        <f>'Cost x Depart'!AB1119</f>
        <v>46743272.727272727</v>
      </c>
      <c r="N33" s="848">
        <f>'Cost x Depart'!AC1119</f>
        <v>176861985.20881951</v>
      </c>
      <c r="O33" s="848">
        <f>'Cost x Depart'!AD1119</f>
        <v>968832</v>
      </c>
      <c r="P33" s="848">
        <f>'Cost x Depart'!AF1119</f>
        <v>28531133.095216412</v>
      </c>
      <c r="Q33" s="848">
        <f>'Cost x Depart'!AH1119</f>
        <v>4299125.2814631555</v>
      </c>
      <c r="R33" s="848">
        <f>'Cost x Depart'!AI1119</f>
        <v>1213226.5057496524</v>
      </c>
      <c r="S33" s="848">
        <f>'Cost x Depart'!AJ1119</f>
        <v>1802225.5071335947</v>
      </c>
      <c r="T33" s="849">
        <f t="shared" si="0"/>
        <v>452358602.29053229</v>
      </c>
      <c r="U33" s="850">
        <f>'Cost x Depart'!AL1119</f>
        <v>37696.550190877693</v>
      </c>
      <c r="V33" s="1147" t="str">
        <f t="shared" si="1"/>
        <v>CASANARE</v>
      </c>
      <c r="W33" s="1148">
        <f t="shared" si="2"/>
        <v>2400</v>
      </c>
    </row>
    <row r="34" spans="2:23">
      <c r="B34" s="611" t="str">
        <f>'Cost x Depart'!E1145</f>
        <v>PUTUMAYO</v>
      </c>
      <c r="C34" s="387">
        <f>'Cost x Depart'!H1145</f>
        <v>3100</v>
      </c>
      <c r="D34" s="848">
        <f>'Cost x Depart'!S1145</f>
        <v>8794058.4826000016</v>
      </c>
      <c r="E34" s="848">
        <f>'Cost x Depart'!T1145</f>
        <v>6626289.3953999998</v>
      </c>
      <c r="F34" s="848">
        <f>'Cost x Depart'!U1145</f>
        <v>2934259.1999999997</v>
      </c>
      <c r="G34" s="848">
        <f>'Cost x Depart'!V1145</f>
        <v>38715309.195541665</v>
      </c>
      <c r="H34" s="848">
        <f>'Cost x Depart'!W1145</f>
        <v>155573719.20100003</v>
      </c>
      <c r="I34" s="848">
        <f>'Cost x Depart'!X1145</f>
        <v>15199970.322878771</v>
      </c>
      <c r="J34" s="848">
        <f>'Cost x Depart'!Y1145</f>
        <v>734563.08193428256</v>
      </c>
      <c r="K34" s="848">
        <f>'Cost x Depart'!Z1145</f>
        <v>997846.5</v>
      </c>
      <c r="L34" s="848">
        <f>'Cost x Depart'!AA1145</f>
        <v>6583162.5</v>
      </c>
      <c r="M34" s="848">
        <f>'Cost x Depart'!AB1145</f>
        <v>60376727.272727296</v>
      </c>
      <c r="N34" s="848">
        <f>'Cost x Depart'!AC1145</f>
        <v>228446730.8947252</v>
      </c>
      <c r="O34" s="848">
        <f>'Cost x Depart'!AD1145</f>
        <v>1233747</v>
      </c>
      <c r="P34" s="848">
        <f>'Cost x Depart'!AF1145</f>
        <v>36045822.238706298</v>
      </c>
      <c r="Q34" s="848">
        <f>'Cost x Depart'!AH1145</f>
        <v>5431452.9030580604</v>
      </c>
      <c r="R34" s="848">
        <f>'Cost x Depart'!AI1145</f>
        <v>1532772.8771091434</v>
      </c>
      <c r="S34" s="848">
        <f>'Cost x Depart'!AJ1145</f>
        <v>2276905.7242627232</v>
      </c>
      <c r="T34" s="849">
        <f t="shared" si="0"/>
        <v>571503336.78994346</v>
      </c>
      <c r="U34" s="850">
        <f>'Cost x Depart'!AL1145</f>
        <v>36871.183018706026</v>
      </c>
      <c r="V34" s="1147" t="str">
        <f t="shared" si="1"/>
        <v>PUTUMAYO</v>
      </c>
      <c r="W34" s="1148">
        <f t="shared" si="2"/>
        <v>3100</v>
      </c>
    </row>
    <row r="35" spans="2:23">
      <c r="B35" s="611" t="str">
        <f>'Cost x Depart'!E1169</f>
        <v>ARCHIPIELAGO DE SAN ANDRES</v>
      </c>
      <c r="C35" s="387">
        <f>'Cost x Depart'!H1169</f>
        <v>750</v>
      </c>
      <c r="D35" s="848">
        <f>'Cost x Depart'!S1169</f>
        <v>5862705.6550666681</v>
      </c>
      <c r="E35" s="848">
        <f>'Cost x Depart'!T1169</f>
        <v>4417526.2636000002</v>
      </c>
      <c r="F35" s="848">
        <f>'Cost x Depart'!U1169</f>
        <v>1956172.8</v>
      </c>
      <c r="G35" s="848">
        <f>'Cost x Depart'!V1169</f>
        <v>9366607.0634374991</v>
      </c>
      <c r="H35" s="848">
        <f>'Cost x Depart'!W1169</f>
        <v>37638803.032499999</v>
      </c>
      <c r="I35" s="848">
        <f>'Cost x Depart'!X1169</f>
        <v>2189141.8358757086</v>
      </c>
      <c r="J35" s="848">
        <f>'Cost x Depart'!Y1169</f>
        <v>111372.5909001767</v>
      </c>
      <c r="K35" s="848">
        <f>'Cost x Depart'!Z1169</f>
        <v>341627.25</v>
      </c>
      <c r="L35" s="848">
        <f>'Cost x Depart'!AA1169</f>
        <v>1729931.25</v>
      </c>
      <c r="M35" s="848">
        <f>'Cost x Depart'!AB1169</f>
        <v>14607272.72727273</v>
      </c>
      <c r="N35" s="848">
        <f>'Cost x Depart'!AC1169</f>
        <v>55269370.377756104</v>
      </c>
      <c r="O35" s="848">
        <f>'Cost x Depart'!AD1169</f>
        <v>324205.5</v>
      </c>
      <c r="P35" s="848">
        <f>'Cost x Depart'!AF1169</f>
        <v>9166309.4397290088</v>
      </c>
      <c r="Q35" s="848">
        <f>'Cost x Depart'!AH1169</f>
        <v>1381196.9022940919</v>
      </c>
      <c r="R35" s="848">
        <f>'Cost x Depart'!AI1169</f>
        <v>389778.05525876634</v>
      </c>
      <c r="S35" s="848">
        <f>'Cost x Depart'!AJ1169</f>
        <v>579008.08297476301</v>
      </c>
      <c r="T35" s="849">
        <f t="shared" si="0"/>
        <v>145331028.82666552</v>
      </c>
      <c r="U35" s="850">
        <f>'Cost x Depart'!AL1169</f>
        <v>38754.941020444137</v>
      </c>
      <c r="V35" s="1147" t="str">
        <f t="shared" si="1"/>
        <v>ARCHIPIELAGO DE SAN ANDRES</v>
      </c>
      <c r="W35" s="1148">
        <f t="shared" si="2"/>
        <v>750</v>
      </c>
    </row>
    <row r="36" spans="2:23">
      <c r="B36" s="611" t="str">
        <f>'Cost x Depart'!E1185</f>
        <v>AMAZONAS</v>
      </c>
      <c r="C36" s="387">
        <f>'Cost x Depart'!H1185</f>
        <v>1200</v>
      </c>
      <c r="D36" s="848">
        <f>'Cost x Depart'!S1185</f>
        <v>5862705.6550666681</v>
      </c>
      <c r="E36" s="848">
        <f>'Cost x Depart'!T1185</f>
        <v>4417526.2636000002</v>
      </c>
      <c r="F36" s="848">
        <f>'Cost x Depart'!U1185</f>
        <v>1956172.8</v>
      </c>
      <c r="G36" s="848">
        <f>'Cost x Depart'!V1185</f>
        <v>14986571.3015</v>
      </c>
      <c r="H36" s="848">
        <f>'Cost x Depart'!W1185</f>
        <v>60222084.852000013</v>
      </c>
      <c r="I36" s="848">
        <f>'Cost x Depart'!X1185</f>
        <v>3502626.9374011336</v>
      </c>
      <c r="J36" s="848">
        <f>'Cost x Depart'!Y1185</f>
        <v>172942.20503418098</v>
      </c>
      <c r="K36" s="848">
        <f>'Cost x Depart'!Z1185</f>
        <v>452226</v>
      </c>
      <c r="L36" s="848">
        <f>'Cost x Depart'!AA1185</f>
        <v>2638650</v>
      </c>
      <c r="M36" s="848">
        <f>'Cost x Depart'!AB1185</f>
        <v>23371636.363636367</v>
      </c>
      <c r="N36" s="848">
        <f>'Cost x Depart'!AC1185</f>
        <v>88430992.604409754</v>
      </c>
      <c r="O36" s="848">
        <f>'Cost x Depart'!AD1185</f>
        <v>494508</v>
      </c>
      <c r="P36" s="848">
        <f>'Cost x Depart'!AF1185</f>
        <v>14145842.044311397</v>
      </c>
      <c r="Q36" s="848">
        <f>'Cost x Depart'!AH1185</f>
        <v>2131522.325360429</v>
      </c>
      <c r="R36" s="848">
        <f>'Cost x Depart'!AI1185</f>
        <v>601522.2198512638</v>
      </c>
      <c r="S36" s="848">
        <f>'Cost x Depart'!AJ1185</f>
        <v>893550.11828868475</v>
      </c>
      <c r="T36" s="849">
        <f t="shared" si="0"/>
        <v>224281079.69045988</v>
      </c>
      <c r="U36" s="850">
        <f>'Cost x Depart'!AL1185</f>
        <v>37380.179948409976</v>
      </c>
      <c r="V36" s="1147" t="str">
        <f t="shared" si="1"/>
        <v>AMAZONAS</v>
      </c>
      <c r="W36" s="1148">
        <f t="shared" si="2"/>
        <v>1200</v>
      </c>
    </row>
    <row r="37" spans="2:23">
      <c r="B37" s="611" t="str">
        <f>'Cost x Depart'!E1204</f>
        <v>GUAINIA</v>
      </c>
      <c r="C37" s="387">
        <f>'Cost x Depart'!H1204</f>
        <v>400</v>
      </c>
      <c r="D37" s="848">
        <f>'Cost x Depart'!S1204</f>
        <v>5862705.6550666681</v>
      </c>
      <c r="E37" s="848">
        <f>'Cost x Depart'!T1204</f>
        <v>4417526.2636000002</v>
      </c>
      <c r="F37" s="848">
        <f>'Cost x Depart'!U1204</f>
        <v>1956172.8</v>
      </c>
      <c r="G37" s="848">
        <f>'Cost x Depart'!V1204</f>
        <v>4995523.7671666667</v>
      </c>
      <c r="H37" s="848">
        <f>'Cost x Depart'!W1204</f>
        <v>20074028.284000002</v>
      </c>
      <c r="I37" s="848">
        <f>'Cost x Depart'!X1204</f>
        <v>1167542.3124670447</v>
      </c>
      <c r="J37" s="848">
        <f>'Cost x Depart'!Y1204</f>
        <v>63485.113240395549</v>
      </c>
      <c r="K37" s="848">
        <f>'Cost x Depart'!Z1204</f>
        <v>255606</v>
      </c>
      <c r="L37" s="848">
        <f>'Cost x Depart'!AA1204</f>
        <v>1023150</v>
      </c>
      <c r="M37" s="848">
        <f>'Cost x Depart'!AB1204</f>
        <v>7790545.4545454569</v>
      </c>
      <c r="N37" s="848">
        <f>'Cost x Depart'!AC1204</f>
        <v>29476997.534803256</v>
      </c>
      <c r="O37" s="848">
        <f>'Cost x Depart'!AD1204</f>
        <v>191748</v>
      </c>
      <c r="P37" s="848">
        <f>'Cost x Depart'!AF1204</f>
        <v>5293339.6361649306</v>
      </c>
      <c r="Q37" s="848">
        <f>'Cost x Depart'!AH1204</f>
        <v>797610.46213138581</v>
      </c>
      <c r="R37" s="848">
        <f>'Cost x Depart'!AI1204</f>
        <v>225088.14946460171</v>
      </c>
      <c r="S37" s="848">
        <f>'Cost x Depart'!AJ1204</f>
        <v>334364.27773060167</v>
      </c>
      <c r="T37" s="849">
        <f t="shared" si="0"/>
        <v>83925433.710381016</v>
      </c>
      <c r="U37" s="850">
        <f>'Cost x Depart'!AL1204</f>
        <v>41962.716855190505</v>
      </c>
      <c r="V37" s="1147" t="str">
        <f t="shared" si="1"/>
        <v>GUAINIA</v>
      </c>
      <c r="W37" s="1148">
        <f t="shared" si="2"/>
        <v>400</v>
      </c>
    </row>
    <row r="38" spans="2:23">
      <c r="B38" s="611" t="str">
        <f>'Cost x Depart'!E1218</f>
        <v>GUAVIARE</v>
      </c>
      <c r="C38" s="387">
        <f>'Cost x Depart'!H1218</f>
        <v>1000</v>
      </c>
      <c r="D38" s="848">
        <f>'Cost x Depart'!S1218</f>
        <v>5862705.6550666681</v>
      </c>
      <c r="E38" s="848">
        <f>'Cost x Depart'!T1218</f>
        <v>4417526.2636000002</v>
      </c>
      <c r="F38" s="848">
        <f>'Cost x Depart'!U1218</f>
        <v>1956172.8</v>
      </c>
      <c r="G38" s="848">
        <f>'Cost x Depart'!V1218</f>
        <v>12488809.417916667</v>
      </c>
      <c r="H38" s="848">
        <f>'Cost x Depart'!W1218</f>
        <v>50185070.710000008</v>
      </c>
      <c r="I38" s="848">
        <f>'Cost x Depart'!X1218</f>
        <v>2918855.7811676115</v>
      </c>
      <c r="J38" s="848">
        <f>'Cost x Depart'!Y1218</f>
        <v>145577.93208573462</v>
      </c>
      <c r="K38" s="848">
        <f>'Cost x Depart'!Z1218</f>
        <v>403071</v>
      </c>
      <c r="L38" s="848">
        <f>'Cost x Depart'!AA1218</f>
        <v>2234775</v>
      </c>
      <c r="M38" s="848">
        <f>'Cost x Depart'!AB1218</f>
        <v>19476363.63636364</v>
      </c>
      <c r="N38" s="848">
        <f>'Cost x Depart'!AC1218</f>
        <v>73692493.837008119</v>
      </c>
      <c r="O38" s="848">
        <f>'Cost x Depart'!AD1218</f>
        <v>418818</v>
      </c>
      <c r="P38" s="848">
        <f>'Cost x Depart'!AF1218</f>
        <v>11932716.442274779</v>
      </c>
      <c r="Q38" s="848">
        <f>'Cost x Depart'!AH1218</f>
        <v>1798044.3595531678</v>
      </c>
      <c r="R38" s="848">
        <f>'Cost x Depart'!AI1218</f>
        <v>507413.7022545982</v>
      </c>
      <c r="S38" s="848">
        <f>'Cost x Depart'!AJ1218</f>
        <v>753753.65814916382</v>
      </c>
      <c r="T38" s="849">
        <f t="shared" si="0"/>
        <v>189192168.19544011</v>
      </c>
      <c r="U38" s="850">
        <f>'Cost x Depart'!AL1218</f>
        <v>37838.43363908802</v>
      </c>
      <c r="V38" s="1147" t="str">
        <f t="shared" si="1"/>
        <v>GUAVIARE</v>
      </c>
      <c r="W38" s="1148">
        <f t="shared" si="2"/>
        <v>1000</v>
      </c>
    </row>
    <row r="39" spans="2:23">
      <c r="B39" s="611" t="str">
        <f>'Cost x Depart'!E1233</f>
        <v>VAUPES</v>
      </c>
      <c r="C39" s="387">
        <f>'Cost x Depart'!H1233</f>
        <v>400</v>
      </c>
      <c r="D39" s="848">
        <f>'Cost x Depart'!S1233</f>
        <v>5862705.6550666681</v>
      </c>
      <c r="E39" s="848">
        <f>'Cost x Depart'!T1233</f>
        <v>4417526.2636000002</v>
      </c>
      <c r="F39" s="848">
        <f>'Cost x Depart'!U1233</f>
        <v>1956172.8</v>
      </c>
      <c r="G39" s="848">
        <f>'Cost x Depart'!V1233</f>
        <v>4995523.7671666667</v>
      </c>
      <c r="H39" s="848">
        <f>'Cost x Depart'!W1233</f>
        <v>20074028.284000002</v>
      </c>
      <c r="I39" s="848">
        <f>'Cost x Depart'!X1233</f>
        <v>1364440.0937526594</v>
      </c>
      <c r="J39" s="848">
        <f>'Cost x Depart'!Y1233</f>
        <v>74191.430097800869</v>
      </c>
      <c r="K39" s="848">
        <f>'Cost x Depart'!Z1233</f>
        <v>255606</v>
      </c>
      <c r="L39" s="848">
        <f>'Cost x Depart'!AA1233</f>
        <v>1023150</v>
      </c>
      <c r="M39" s="848">
        <f>'Cost x Depart'!AB1233</f>
        <v>7790545.4545454569</v>
      </c>
      <c r="N39" s="848">
        <f>'Cost x Depart'!AC1233</f>
        <v>29476997.534803249</v>
      </c>
      <c r="O39" s="848">
        <f>'Cost x Depart'!AD1233</f>
        <v>191748</v>
      </c>
      <c r="P39" s="848">
        <f>'Cost x Depart'!AF1233</f>
        <v>5307560.5168877272</v>
      </c>
      <c r="Q39" s="848">
        <f>'Cost x Depart'!AH1233</f>
        <v>799753.29142722941</v>
      </c>
      <c r="R39" s="848">
        <f>'Cost x Depart'!AI1233</f>
        <v>225692.86254663815</v>
      </c>
      <c r="S39" s="848">
        <f>'Cost x Depart'!AJ1233</f>
        <v>335262.56781557639</v>
      </c>
      <c r="T39" s="849">
        <f t="shared" si="0"/>
        <v>84150904.521709666</v>
      </c>
      <c r="U39" s="850">
        <f>'Cost x Depart'!AL1233</f>
        <v>42075.452260854836</v>
      </c>
      <c r="V39" s="1147" t="str">
        <f t="shared" si="1"/>
        <v>VAUPES</v>
      </c>
      <c r="W39" s="1148">
        <f t="shared" si="2"/>
        <v>400</v>
      </c>
    </row>
    <row r="40" spans="2:23">
      <c r="B40" s="611" t="str">
        <f>'Cost x Depart'!E1246</f>
        <v>VICHADA</v>
      </c>
      <c r="C40" s="387">
        <f>'Cost x Depart'!H1246</f>
        <v>650</v>
      </c>
      <c r="D40" s="848">
        <f>'Cost x Depart'!S1246</f>
        <v>5862705.6550666681</v>
      </c>
      <c r="E40" s="848">
        <f>'Cost x Depart'!T1246</f>
        <v>4417526.2636000002</v>
      </c>
      <c r="F40" s="848">
        <f>'Cost x Depart'!U1246</f>
        <v>1956172.8</v>
      </c>
      <c r="G40" s="848">
        <f>'Cost x Depart'!V1246</f>
        <v>8117726.1216458334</v>
      </c>
      <c r="H40" s="848">
        <f>'Cost x Depart'!W1246</f>
        <v>32620295.961499996</v>
      </c>
      <c r="I40" s="848">
        <f>'Cost x Depart'!X1246</f>
        <v>1897256.2577589476</v>
      </c>
      <c r="J40" s="848">
        <f>'Cost x Depart'!Y1246</f>
        <v>97690.454425953503</v>
      </c>
      <c r="K40" s="848">
        <f>'Cost x Depart'!Z1246</f>
        <v>317049.75</v>
      </c>
      <c r="L40" s="848">
        <f>'Cost x Depart'!AA1246</f>
        <v>1527993.75</v>
      </c>
      <c r="M40" s="848">
        <f>'Cost x Depart'!AB1246</f>
        <v>12659636.363636367</v>
      </c>
      <c r="N40" s="848">
        <f>'Cost x Depart'!AC1246</f>
        <v>47900120.994055286</v>
      </c>
      <c r="O40" s="848">
        <f>'Cost x Depart'!AD1246</f>
        <v>286360.5</v>
      </c>
      <c r="P40" s="848">
        <f>'Cost x Depart'!AF1246</f>
        <v>8059746.6387107009</v>
      </c>
      <c r="Q40" s="848">
        <f>'Cost x Depart'!AH1246</f>
        <v>1214457.9193904616</v>
      </c>
      <c r="R40" s="848">
        <f>'Cost x Depart'!AI1246</f>
        <v>342723.79646043357</v>
      </c>
      <c r="S40" s="848">
        <f>'Cost x Depart'!AJ1246</f>
        <v>509109.8529050026</v>
      </c>
      <c r="T40" s="849">
        <f t="shared" si="0"/>
        <v>127786573.07915565</v>
      </c>
      <c r="U40" s="850">
        <f>'Cost x Depart'!AL1246</f>
        <v>39318.94556281712</v>
      </c>
      <c r="V40" s="1147" t="str">
        <f t="shared" si="1"/>
        <v>VICHADA</v>
      </c>
      <c r="W40" s="1148">
        <f t="shared" si="2"/>
        <v>650</v>
      </c>
    </row>
    <row r="41" spans="2:23" ht="13.5" thickBot="1">
      <c r="B41" s="616" t="str">
        <f>'Cost x Depart'!E1263</f>
        <v>BOGOTÁ</v>
      </c>
      <c r="C41" s="1080">
        <f>'Cost x Depart'!H1263</f>
        <v>0</v>
      </c>
      <c r="D41" s="1131">
        <f>'Cost x Depart'!S1263</f>
        <v>0</v>
      </c>
      <c r="E41" s="1131">
        <f>'Cost x Depart'!T1263</f>
        <v>0</v>
      </c>
      <c r="F41" s="1131">
        <f>'Cost x Depart'!U1263</f>
        <v>0</v>
      </c>
      <c r="G41" s="1131">
        <f>'Cost x Depart'!V1263</f>
        <v>0</v>
      </c>
      <c r="H41" s="1131">
        <f>'Cost x Depart'!W1263</f>
        <v>0</v>
      </c>
      <c r="I41" s="1131">
        <f>'Cost x Depart'!X1263</f>
        <v>0</v>
      </c>
      <c r="J41" s="1131">
        <f>'Cost x Depart'!Y1263</f>
        <v>0</v>
      </c>
      <c r="K41" s="1131">
        <f>'Cost x Depart'!Z1263</f>
        <v>0</v>
      </c>
      <c r="L41" s="1131">
        <f>'Cost x Depart'!AA1263</f>
        <v>0</v>
      </c>
      <c r="M41" s="1131">
        <f>'Cost x Depart'!AB1263</f>
        <v>0</v>
      </c>
      <c r="N41" s="1131">
        <f>'Cost x Depart'!AC1263</f>
        <v>0</v>
      </c>
      <c r="O41" s="1131">
        <f>'Cost x Depart'!AD1263</f>
        <v>0</v>
      </c>
      <c r="P41" s="1131">
        <f>'Cost x Depart'!AF1263</f>
        <v>0</v>
      </c>
      <c r="Q41" s="1131">
        <f>'Cost x Depart'!AH1263</f>
        <v>0</v>
      </c>
      <c r="R41" s="1131">
        <f>'Cost x Depart'!AI1263</f>
        <v>0</v>
      </c>
      <c r="S41" s="1131">
        <f>'Cost x Depart'!AJ1263</f>
        <v>0</v>
      </c>
      <c r="T41" s="851">
        <f t="shared" si="0"/>
        <v>0</v>
      </c>
      <c r="U41" s="852">
        <f>'Cost x Depart'!AL1263+0.0000000001</f>
        <v>1E-10</v>
      </c>
      <c r="V41" s="1147" t="str">
        <f t="shared" si="1"/>
        <v>BOGOTÁ</v>
      </c>
      <c r="W41" s="1148">
        <f t="shared" si="2"/>
        <v>0</v>
      </c>
    </row>
    <row r="42" spans="2:23" ht="13.5" thickBot="1">
      <c r="B42" s="1137" t="s">
        <v>2326</v>
      </c>
      <c r="C42" s="1138">
        <f t="shared" ref="C42:T42" si="6">+SUM(C9:C41)</f>
        <v>175400</v>
      </c>
      <c r="D42" s="1139">
        <f t="shared" si="6"/>
        <v>337105575.16633338</v>
      </c>
      <c r="E42" s="1139">
        <f t="shared" si="6"/>
        <v>254007760.15699992</v>
      </c>
      <c r="F42" s="1139">
        <f t="shared" si="6"/>
        <v>112479935.99999999</v>
      </c>
      <c r="G42" s="1139">
        <f t="shared" si="6"/>
        <v>2190537171.9025836</v>
      </c>
      <c r="H42" s="1139">
        <f t="shared" si="6"/>
        <v>8802461402.5339985</v>
      </c>
      <c r="I42" s="1139">
        <f t="shared" si="6"/>
        <v>1309779539.1208665</v>
      </c>
      <c r="J42" s="1139">
        <f t="shared" si="6"/>
        <v>62563508.971466921</v>
      </c>
      <c r="K42" s="1139">
        <f t="shared" si="6"/>
        <v>52153455</v>
      </c>
      <c r="L42" s="1139">
        <f t="shared" si="6"/>
        <v>366583875</v>
      </c>
      <c r="M42" s="1139">
        <f t="shared" si="6"/>
        <v>3416154181.8181829</v>
      </c>
      <c r="N42" s="1139">
        <f t="shared" si="6"/>
        <v>12925663419.011229</v>
      </c>
      <c r="O42" s="1139">
        <f t="shared" si="6"/>
        <v>68701290</v>
      </c>
      <c r="P42" s="1139">
        <f t="shared" si="6"/>
        <v>2048026091.3556941</v>
      </c>
      <c r="Q42" s="1139">
        <f t="shared" si="6"/>
        <v>308600458.21032071</v>
      </c>
      <c r="R42" s="1139">
        <f t="shared" si="6"/>
        <v>87088007.69346872</v>
      </c>
      <c r="S42" s="1139">
        <f t="shared" si="6"/>
        <v>129367622.68776459</v>
      </c>
      <c r="T42" s="1139">
        <f t="shared" si="6"/>
        <v>32471273294.628899</v>
      </c>
      <c r="U42" s="1140">
        <f>+'Cost x Depart'!AL1275</f>
        <v>37025.397143248454</v>
      </c>
      <c r="V42" s="1148">
        <f>+T42/C42/'Parametros Generales'!$C$6</f>
        <v>37025.397143248454</v>
      </c>
      <c r="W42" s="1149">
        <f>+SUM(W9:W41)</f>
        <v>175400</v>
      </c>
    </row>
    <row r="43" spans="2:23">
      <c r="B43" s="1154" t="s">
        <v>2343</v>
      </c>
      <c r="U43" s="1146" t="str">
        <f>+IF(V42=U42,"Ok","Rev")</f>
        <v>Ok</v>
      </c>
    </row>
    <row r="97" spans="2:15" ht="13.5" thickBot="1">
      <c r="B97" s="1154" t="s">
        <v>2343</v>
      </c>
      <c r="G97" s="1154" t="s">
        <v>2343</v>
      </c>
      <c r="L97" s="1154" t="s">
        <v>2343</v>
      </c>
    </row>
    <row r="98" spans="2:15" s="969" customFormat="1" ht="16.5" thickBot="1">
      <c r="B98" s="1254" t="s">
        <v>2376</v>
      </c>
      <c r="C98" s="1255"/>
      <c r="D98" s="1255"/>
      <c r="E98" s="1256"/>
      <c r="F98" s="979"/>
      <c r="G98" s="1254" t="s">
        <v>2378</v>
      </c>
      <c r="H98" s="1255"/>
      <c r="I98" s="1255"/>
      <c r="J98" s="1256"/>
      <c r="K98" s="979"/>
      <c r="L98" s="1254" t="s">
        <v>2379</v>
      </c>
      <c r="M98" s="1255"/>
      <c r="N98" s="1255"/>
      <c r="O98" s="1256"/>
    </row>
    <row r="99" spans="2:15" s="969" customFormat="1" ht="33.75" thickBot="1">
      <c r="B99" s="971" t="str">
        <f>B3</f>
        <v xml:space="preserve">Regional </v>
      </c>
      <c r="C99" s="975" t="str">
        <f>C3</f>
        <v>Cobertura 
2013</v>
      </c>
      <c r="D99" s="976" t="s">
        <v>2375</v>
      </c>
      <c r="E99" s="972" t="s">
        <v>2358</v>
      </c>
      <c r="F99" s="1041">
        <v>3</v>
      </c>
      <c r="G99" s="974" t="str">
        <f>+B99</f>
        <v xml:space="preserve">Regional </v>
      </c>
      <c r="H99" s="977" t="str">
        <f>+C99</f>
        <v>Cobertura 
2013</v>
      </c>
      <c r="I99" s="976" t="str">
        <f>+D99</f>
        <v xml:space="preserve">Costo Cupo Mes </v>
      </c>
      <c r="J99" s="972" t="str">
        <f>+E99</f>
        <v>Costo Total  Escenario 1</v>
      </c>
      <c r="K99" s="1040"/>
      <c r="L99" s="973" t="str">
        <f>+G99</f>
        <v xml:space="preserve">Regional </v>
      </c>
      <c r="M99" s="978" t="str">
        <f>+H99</f>
        <v>Cobertura 
2013</v>
      </c>
      <c r="N99" s="976" t="str">
        <f>+I99</f>
        <v xml:space="preserve">Costo Cupo Mes </v>
      </c>
      <c r="O99" s="972" t="str">
        <f>+J99</f>
        <v>Costo Total  Escenario 1</v>
      </c>
    </row>
    <row r="100" spans="2:15" s="969" customFormat="1" ht="13.5">
      <c r="B100" s="985" t="str">
        <f t="shared" ref="B100:B132" si="7">B9</f>
        <v>ANTIOQUIA</v>
      </c>
      <c r="C100" s="986">
        <f t="shared" ref="C100:C132" si="8">C9</f>
        <v>19200</v>
      </c>
      <c r="D100" s="987">
        <f t="shared" ref="D100:D132" si="9">+$U$42</f>
        <v>37025.397143248454</v>
      </c>
      <c r="E100" s="988">
        <f>+C100*D100*'Parametros Generales'!$C$6</f>
        <v>3554438125.751852</v>
      </c>
      <c r="F100" s="1040">
        <v>1</v>
      </c>
      <c r="G100" s="981" t="str">
        <f>+VLOOKUP(I100,$U$4:$V$42,2,0)</f>
        <v>VAUPES</v>
      </c>
      <c r="H100" s="982">
        <f>+VLOOKUP(I100,$U$4:$W$42,3,0)</f>
        <v>400</v>
      </c>
      <c r="I100" s="983">
        <f>+LARGE($U$9:$U$41,F100)</f>
        <v>42075.452260854836</v>
      </c>
      <c r="J100" s="984">
        <f>+H100*I100*'Parametros Generales'!$C$6</f>
        <v>84150904.521709681</v>
      </c>
      <c r="K100" s="1040">
        <v>1</v>
      </c>
      <c r="L100" s="1022" t="str">
        <f>+VLOOKUP(N100,$U$4:$V$42,2,0)</f>
        <v>VAUPES</v>
      </c>
      <c r="M100" s="982">
        <f>+VLOOKUP(N100,$U$4:$W$42,3,0)</f>
        <v>400</v>
      </c>
      <c r="N100" s="983">
        <f>+LARGE($U$9:$U$41,K100)</f>
        <v>42075.452260854836</v>
      </c>
      <c r="O100" s="984">
        <f>+M100*N100*'Parametros Generales'!$C$6</f>
        <v>84150904.521709681</v>
      </c>
    </row>
    <row r="101" spans="2:15" s="969" customFormat="1" ht="13.5">
      <c r="B101" s="985" t="str">
        <f t="shared" si="7"/>
        <v>ATLÁNTICO</v>
      </c>
      <c r="C101" s="986">
        <f t="shared" si="8"/>
        <v>5600</v>
      </c>
      <c r="D101" s="987">
        <f t="shared" si="9"/>
        <v>37025.397143248454</v>
      </c>
      <c r="E101" s="988">
        <f>+C101*D101*'Parametros Generales'!$C$6</f>
        <v>1036711120.0109566</v>
      </c>
      <c r="F101" s="1040">
        <f t="shared" ref="F101:F109" si="10">+IFERROR(IF(F100=$F$99,"",F100+1),"")</f>
        <v>2</v>
      </c>
      <c r="G101" s="989" t="str">
        <f t="shared" ref="G101:G109" si="11">+IFERROR(VLOOKUP(I101,$U$4:$V$42,2,0),"")</f>
        <v>GUAINIA</v>
      </c>
      <c r="H101" s="990">
        <f t="shared" ref="H101:H109" si="12">+IFERROR(VLOOKUP(I101,$U$4:$W$42,3,0),"")</f>
        <v>400</v>
      </c>
      <c r="I101" s="991">
        <f t="shared" ref="I101:I109" si="13">+IFERROR(LARGE($U$9:$U$41,F101),0)</f>
        <v>41962.716855190505</v>
      </c>
      <c r="J101" s="992">
        <f>+IFERROR(H101*I101*'Parametros Generales'!$C$6,"")</f>
        <v>83925433.710381016</v>
      </c>
      <c r="K101" s="1040">
        <v>2</v>
      </c>
      <c r="L101" s="1023" t="str">
        <f>+IFERROR(VLOOKUP(N101,$U$4:$V$42,2,0),"")</f>
        <v>GUAINIA</v>
      </c>
      <c r="M101" s="990">
        <f>+IFERROR(VLOOKUP(N101,$U$4:$W$42,3,0),"")</f>
        <v>400</v>
      </c>
      <c r="N101" s="991">
        <f>+IFERROR(LARGE($U$9:$U$41,K101),0)</f>
        <v>41962.716855190505</v>
      </c>
      <c r="O101" s="992">
        <f>+IFERROR(M101*N101*'Parametros Generales'!$C$6,"")</f>
        <v>83925433.710381016</v>
      </c>
    </row>
    <row r="102" spans="2:15" s="969" customFormat="1" ht="14.25" thickBot="1">
      <c r="B102" s="985" t="str">
        <f t="shared" si="7"/>
        <v>BOLIVAR</v>
      </c>
      <c r="C102" s="986">
        <f t="shared" si="8"/>
        <v>8100</v>
      </c>
      <c r="D102" s="987">
        <f t="shared" si="9"/>
        <v>37025.397143248454</v>
      </c>
      <c r="E102" s="988">
        <f>+C102*D102*'Parametros Generales'!$C$6</f>
        <v>1499528584.3015623</v>
      </c>
      <c r="F102" s="1040">
        <f t="shared" si="10"/>
        <v>3</v>
      </c>
      <c r="G102" s="989" t="str">
        <f t="shared" si="11"/>
        <v>VICHADA</v>
      </c>
      <c r="H102" s="990">
        <f t="shared" si="12"/>
        <v>650</v>
      </c>
      <c r="I102" s="991">
        <f t="shared" si="13"/>
        <v>39318.94556281712</v>
      </c>
      <c r="J102" s="992">
        <f>+IFERROR(H102*I102*'Parametros Generales'!$C$6,"")</f>
        <v>127786573.07915565</v>
      </c>
      <c r="K102" s="1040">
        <v>3</v>
      </c>
      <c r="L102" s="1023" t="str">
        <f>+IFERROR(VLOOKUP(N102,$U$4:$V$42,2,0),"")</f>
        <v>VICHADA</v>
      </c>
      <c r="M102" s="990">
        <f>+IFERROR(VLOOKUP(N102,$U$4:$W$42,3,0),"")</f>
        <v>650</v>
      </c>
      <c r="N102" s="991">
        <f>+IFERROR(LARGE($U$9:$U$41,K102),0)</f>
        <v>39318.94556281712</v>
      </c>
      <c r="O102" s="992">
        <f>+IFERROR(M102*N102*'Parametros Generales'!$C$6,"")</f>
        <v>127786573.07915565</v>
      </c>
    </row>
    <row r="103" spans="2:15" s="969" customFormat="1" ht="14.25" thickBot="1">
      <c r="B103" s="985" t="str">
        <f t="shared" si="7"/>
        <v>BOYACA</v>
      </c>
      <c r="C103" s="986">
        <f t="shared" si="8"/>
        <v>7000</v>
      </c>
      <c r="D103" s="987">
        <f t="shared" si="9"/>
        <v>37025.397143248454</v>
      </c>
      <c r="E103" s="988">
        <f>+C103*D103*'Parametros Generales'!$C$6</f>
        <v>1295888900.013696</v>
      </c>
      <c r="F103" s="1040" t="str">
        <f t="shared" si="10"/>
        <v/>
      </c>
      <c r="G103" s="989" t="str">
        <f t="shared" si="11"/>
        <v/>
      </c>
      <c r="H103" s="990" t="str">
        <f t="shared" si="12"/>
        <v/>
      </c>
      <c r="I103" s="991">
        <f t="shared" si="13"/>
        <v>0</v>
      </c>
      <c r="J103" s="992" t="str">
        <f>+IFERROR(H103*I103*'Parametros Generales'!$C$6,"")</f>
        <v/>
      </c>
      <c r="K103" s="1040" t="str">
        <f>+IFERROR(IF(K102=$F$99,"",K102+1),"")</f>
        <v/>
      </c>
      <c r="L103" s="1020" t="s">
        <v>1431</v>
      </c>
      <c r="M103" s="1021">
        <f>+SUM(M100:M102)</f>
        <v>1450</v>
      </c>
      <c r="N103" s="1014">
        <f>+O103/M103/'Parametros Generales'!$C$6</f>
        <v>40808.677422240886</v>
      </c>
      <c r="O103" s="1015">
        <f>+SUM(O100:O102)</f>
        <v>295862911.3112464</v>
      </c>
    </row>
    <row r="104" spans="2:15" s="969" customFormat="1" ht="14.25" thickBot="1">
      <c r="B104" s="985" t="str">
        <f t="shared" si="7"/>
        <v>CALDAS</v>
      </c>
      <c r="C104" s="986">
        <f t="shared" si="8"/>
        <v>7100</v>
      </c>
      <c r="D104" s="987">
        <f t="shared" si="9"/>
        <v>37025.397143248454</v>
      </c>
      <c r="E104" s="988">
        <f>+C104*D104*'Parametros Generales'!$C$6</f>
        <v>1314401598.58532</v>
      </c>
      <c r="F104" s="1040" t="str">
        <f t="shared" si="10"/>
        <v/>
      </c>
      <c r="G104" s="989" t="str">
        <f t="shared" si="11"/>
        <v/>
      </c>
      <c r="H104" s="990" t="str">
        <f t="shared" si="12"/>
        <v/>
      </c>
      <c r="I104" s="991">
        <f t="shared" si="13"/>
        <v>0</v>
      </c>
      <c r="J104" s="992" t="str">
        <f>+IFERROR(H104*I104*'Parametros Generales'!$C$6,"")</f>
        <v/>
      </c>
      <c r="K104" s="1040"/>
      <c r="L104" s="979"/>
      <c r="M104" s="1001"/>
      <c r="N104" s="1002"/>
      <c r="O104" s="1003"/>
    </row>
    <row r="105" spans="2:15" s="969" customFormat="1" ht="13.5">
      <c r="B105" s="985" t="str">
        <f t="shared" si="7"/>
        <v>CAQUETA</v>
      </c>
      <c r="C105" s="986">
        <f t="shared" si="8"/>
        <v>3800</v>
      </c>
      <c r="D105" s="987">
        <f t="shared" si="9"/>
        <v>37025.397143248454</v>
      </c>
      <c r="E105" s="988">
        <f>+C105*D105*'Parametros Generales'!$C$6</f>
        <v>703482545.72172058</v>
      </c>
      <c r="F105" s="1040" t="str">
        <f t="shared" si="10"/>
        <v/>
      </c>
      <c r="G105" s="989" t="str">
        <f t="shared" si="11"/>
        <v/>
      </c>
      <c r="H105" s="990" t="str">
        <f t="shared" si="12"/>
        <v/>
      </c>
      <c r="I105" s="991">
        <f t="shared" si="13"/>
        <v>0</v>
      </c>
      <c r="J105" s="992" t="str">
        <f>+IFERROR(H105*I105*'Parametros Generales'!$C$6,"")</f>
        <v/>
      </c>
      <c r="K105" s="1040">
        <v>4</v>
      </c>
      <c r="L105" s="1027" t="str">
        <f t="shared" ref="L105:L112" si="14">+IFERROR(VLOOKUP(N105,$U$4:$V$42,2,0),"")</f>
        <v>ARCHIPIELAGO DE SAN ANDRES</v>
      </c>
      <c r="M105" s="1028">
        <f t="shared" ref="M105:M112" si="15">+IFERROR(VLOOKUP(N105,$U$4:$W$42,3,0),"")</f>
        <v>750</v>
      </c>
      <c r="N105" s="983">
        <f t="shared" ref="N105:N112" si="16">+IFERROR(LARGE($U$9:$U$41,K105),0)</f>
        <v>38754.941020444137</v>
      </c>
      <c r="O105" s="984">
        <f>+IFERROR(M105*N105*'Parametros Generales'!$C$6,"")</f>
        <v>145331028.82666552</v>
      </c>
    </row>
    <row r="106" spans="2:15" s="969" customFormat="1" ht="13.5">
      <c r="B106" s="985" t="str">
        <f t="shared" si="7"/>
        <v>CAUCA</v>
      </c>
      <c r="C106" s="986">
        <f t="shared" si="8"/>
        <v>7600</v>
      </c>
      <c r="D106" s="987">
        <f t="shared" si="9"/>
        <v>37025.397143248454</v>
      </c>
      <c r="E106" s="988">
        <f>+C106*D106*'Parametros Generales'!$C$6</f>
        <v>1406965091.4434412</v>
      </c>
      <c r="F106" s="1040" t="str">
        <f t="shared" si="10"/>
        <v/>
      </c>
      <c r="G106" s="989" t="str">
        <f t="shared" si="11"/>
        <v/>
      </c>
      <c r="H106" s="990" t="str">
        <f t="shared" si="12"/>
        <v/>
      </c>
      <c r="I106" s="991">
        <f t="shared" si="13"/>
        <v>0</v>
      </c>
      <c r="J106" s="992" t="str">
        <f>+IFERROR(H106*I106*'Parametros Generales'!$C$6,"")</f>
        <v/>
      </c>
      <c r="K106" s="1040">
        <v>5</v>
      </c>
      <c r="L106" s="1029" t="str">
        <f t="shared" si="14"/>
        <v>GUAVIARE</v>
      </c>
      <c r="M106" s="1026">
        <f t="shared" si="15"/>
        <v>1000</v>
      </c>
      <c r="N106" s="991">
        <f t="shared" si="16"/>
        <v>37838.43363908802</v>
      </c>
      <c r="O106" s="992">
        <f>+IFERROR(M106*N106*'Parametros Generales'!$C$6,"")</f>
        <v>189192168.19544011</v>
      </c>
    </row>
    <row r="107" spans="2:15" s="969" customFormat="1" ht="13.5">
      <c r="B107" s="985" t="str">
        <f t="shared" si="7"/>
        <v>CESAR</v>
      </c>
      <c r="C107" s="986">
        <f t="shared" si="8"/>
        <v>5500</v>
      </c>
      <c r="D107" s="987">
        <f t="shared" si="9"/>
        <v>37025.397143248454</v>
      </c>
      <c r="E107" s="988">
        <f>+C107*D107*'Parametros Generales'!$C$6</f>
        <v>1018198421.4393325</v>
      </c>
      <c r="F107" s="1040" t="str">
        <f t="shared" si="10"/>
        <v/>
      </c>
      <c r="G107" s="989" t="str">
        <f t="shared" si="11"/>
        <v/>
      </c>
      <c r="H107" s="990" t="str">
        <f t="shared" si="12"/>
        <v/>
      </c>
      <c r="I107" s="991">
        <f t="shared" si="13"/>
        <v>0</v>
      </c>
      <c r="J107" s="992" t="str">
        <f>+IFERROR(H107*I107*'Parametros Generales'!$C$6,"")</f>
        <v/>
      </c>
      <c r="K107" s="1040">
        <v>6</v>
      </c>
      <c r="L107" s="1029" t="str">
        <f t="shared" si="14"/>
        <v>CASANARE</v>
      </c>
      <c r="M107" s="1026">
        <f t="shared" si="15"/>
        <v>2400</v>
      </c>
      <c r="N107" s="991">
        <f t="shared" si="16"/>
        <v>37696.550190877693</v>
      </c>
      <c r="O107" s="992">
        <f>+IFERROR(M107*N107*'Parametros Generales'!$C$6,"")</f>
        <v>452358602.29053229</v>
      </c>
    </row>
    <row r="108" spans="2:15" s="969" customFormat="1" ht="13.5">
      <c r="B108" s="985" t="str">
        <f t="shared" si="7"/>
        <v>CÓRDOBA</v>
      </c>
      <c r="C108" s="986">
        <f t="shared" si="8"/>
        <v>7900</v>
      </c>
      <c r="D108" s="987">
        <f t="shared" si="9"/>
        <v>37025.397143248454</v>
      </c>
      <c r="E108" s="988">
        <f>+C108*D108*'Parametros Generales'!$C$6</f>
        <v>1462503187.158314</v>
      </c>
      <c r="F108" s="1040" t="str">
        <f t="shared" si="10"/>
        <v/>
      </c>
      <c r="G108" s="989" t="str">
        <f t="shared" si="11"/>
        <v/>
      </c>
      <c r="H108" s="990" t="str">
        <f t="shared" si="12"/>
        <v/>
      </c>
      <c r="I108" s="991">
        <f t="shared" si="13"/>
        <v>0</v>
      </c>
      <c r="J108" s="992" t="str">
        <f>+IFERROR(H108*I108*'Parametros Generales'!$C$6,"")</f>
        <v/>
      </c>
      <c r="K108" s="1040">
        <v>7</v>
      </c>
      <c r="L108" s="1029" t="str">
        <f t="shared" si="14"/>
        <v>QUINDÍO</v>
      </c>
      <c r="M108" s="1026">
        <f t="shared" si="15"/>
        <v>2800</v>
      </c>
      <c r="N108" s="991">
        <f t="shared" si="16"/>
        <v>37669.960930090841</v>
      </c>
      <c r="O108" s="992">
        <f>+IFERROR(M108*N108*'Parametros Generales'!$C$6,"")</f>
        <v>527379453.02127177</v>
      </c>
    </row>
    <row r="109" spans="2:15" s="969" customFormat="1" ht="14.25" thickBot="1">
      <c r="B109" s="985" t="str">
        <f t="shared" si="7"/>
        <v>CUNDINAMARCA</v>
      </c>
      <c r="C109" s="986">
        <f t="shared" si="8"/>
        <v>8500</v>
      </c>
      <c r="D109" s="987">
        <f t="shared" si="9"/>
        <v>37025.397143248454</v>
      </c>
      <c r="E109" s="988">
        <f>+C109*D109*'Parametros Generales'!$C$6</f>
        <v>1573579378.5880592</v>
      </c>
      <c r="F109" s="1040" t="str">
        <f t="shared" si="10"/>
        <v/>
      </c>
      <c r="G109" s="993" t="str">
        <f t="shared" si="11"/>
        <v/>
      </c>
      <c r="H109" s="994" t="str">
        <f t="shared" si="12"/>
        <v/>
      </c>
      <c r="I109" s="995">
        <f t="shared" si="13"/>
        <v>0</v>
      </c>
      <c r="J109" s="996" t="str">
        <f>+IFERROR(H109*I109*'Parametros Generales'!$C$6,"")</f>
        <v/>
      </c>
      <c r="K109" s="1040">
        <v>8</v>
      </c>
      <c r="L109" s="1029" t="str">
        <f t="shared" si="14"/>
        <v>ANTIOQUIA</v>
      </c>
      <c r="M109" s="1026">
        <f t="shared" si="15"/>
        <v>19200</v>
      </c>
      <c r="N109" s="991">
        <f t="shared" si="16"/>
        <v>37557.684025903385</v>
      </c>
      <c r="O109" s="992">
        <f>+IFERROR(M109*N109*'Parametros Generales'!$C$6,"")</f>
        <v>3605537666.4867253</v>
      </c>
    </row>
    <row r="110" spans="2:15" s="969" customFormat="1" ht="14.25" thickBot="1">
      <c r="B110" s="985" t="str">
        <f t="shared" si="7"/>
        <v>CHOCÓ</v>
      </c>
      <c r="C110" s="986">
        <f t="shared" si="8"/>
        <v>6150</v>
      </c>
      <c r="D110" s="987">
        <f t="shared" si="9"/>
        <v>37025.397143248454</v>
      </c>
      <c r="E110" s="988">
        <f>+C110*D110*'Parametros Generales'!$C$6</f>
        <v>1138530962.1548901</v>
      </c>
      <c r="F110" s="1040"/>
      <c r="G110" s="997" t="s">
        <v>1431</v>
      </c>
      <c r="H110" s="998">
        <f t="shared" ref="H110:J110" si="17">+SUM(H100:H109)</f>
        <v>1450</v>
      </c>
      <c r="I110" s="999">
        <f>+J110/H110/'Parametros Generales'!$C$6</f>
        <v>40808.677422240886</v>
      </c>
      <c r="J110" s="1000">
        <f t="shared" si="17"/>
        <v>295862911.3112464</v>
      </c>
      <c r="K110" s="1040">
        <v>9</v>
      </c>
      <c r="L110" s="1030" t="str">
        <f t="shared" si="14"/>
        <v>CAUCA</v>
      </c>
      <c r="M110" s="1026">
        <f t="shared" si="15"/>
        <v>7600</v>
      </c>
      <c r="N110" s="991">
        <f t="shared" si="16"/>
        <v>37476.810995187712</v>
      </c>
      <c r="O110" s="992">
        <f>+IFERROR(M110*N110*'Parametros Generales'!$C$6,"")</f>
        <v>1424118817.8171329</v>
      </c>
    </row>
    <row r="111" spans="2:15" s="969" customFormat="1" ht="14.25" thickBot="1">
      <c r="B111" s="985" t="str">
        <f t="shared" si="7"/>
        <v>HUILA</v>
      </c>
      <c r="C111" s="986">
        <f t="shared" si="8"/>
        <v>4850</v>
      </c>
      <c r="D111" s="987">
        <f t="shared" si="9"/>
        <v>37025.397143248454</v>
      </c>
      <c r="E111" s="988">
        <f>+C111*D111*'Parametros Generales'!$C$6</f>
        <v>897865880.72377503</v>
      </c>
      <c r="F111" s="1040"/>
      <c r="G111" s="979"/>
      <c r="H111" s="1001"/>
      <c r="I111" s="1002"/>
      <c r="J111" s="1003"/>
      <c r="K111" s="1040">
        <v>10</v>
      </c>
      <c r="L111" s="1029" t="str">
        <f t="shared" si="14"/>
        <v>AMAZONAS</v>
      </c>
      <c r="M111" s="1026">
        <f t="shared" si="15"/>
        <v>1200</v>
      </c>
      <c r="N111" s="991">
        <f t="shared" si="16"/>
        <v>37380.179948409976</v>
      </c>
      <c r="O111" s="992">
        <f>+IFERROR(M111*N111*'Parametros Generales'!$C$6,"")</f>
        <v>224281079.69045985</v>
      </c>
    </row>
    <row r="112" spans="2:15" s="969" customFormat="1" ht="14.25" thickBot="1">
      <c r="B112" s="985" t="str">
        <f t="shared" si="7"/>
        <v>LA GUAJIRA</v>
      </c>
      <c r="C112" s="986">
        <f t="shared" si="8"/>
        <v>3000</v>
      </c>
      <c r="D112" s="987">
        <f t="shared" si="9"/>
        <v>37025.397143248454</v>
      </c>
      <c r="E112" s="988">
        <f>+C112*D112*'Parametros Generales'!$C$6</f>
        <v>555380957.14872682</v>
      </c>
      <c r="F112" s="1040">
        <f>+$F$99+1</f>
        <v>4</v>
      </c>
      <c r="G112" s="981" t="str">
        <f t="shared" ref="G112:G144" si="18">+IFERROR(VLOOKUP(I112,$U$4:$V$42,2,0),"")</f>
        <v>ARCHIPIELAGO DE SAN ANDRES</v>
      </c>
      <c r="H112" s="1004">
        <f t="shared" ref="H112:H144" si="19">+IFERROR(VLOOKUP(I112,$U$4:$W$42,3,0),"")</f>
        <v>750</v>
      </c>
      <c r="I112" s="1005">
        <f t="shared" ref="I112:I144" si="20">+IFERROR(LARGE($U$9:$U$41,F112),0)</f>
        <v>38754.941020444137</v>
      </c>
      <c r="J112" s="984">
        <f>+IFERROR(H112*I112*'Parametros Generales'!$C$6,"")</f>
        <v>145331028.82666552</v>
      </c>
      <c r="K112" s="1040">
        <v>11</v>
      </c>
      <c r="L112" s="1031" t="str">
        <f t="shared" si="14"/>
        <v>NORTE DE SANTANDER</v>
      </c>
      <c r="M112" s="1032">
        <f t="shared" si="15"/>
        <v>4700</v>
      </c>
      <c r="N112" s="995">
        <f t="shared" si="16"/>
        <v>37320.477033592251</v>
      </c>
      <c r="O112" s="996">
        <f>+IFERROR(M112*N112*'Parametros Generales'!$C$6,"")</f>
        <v>877031210.28941798</v>
      </c>
    </row>
    <row r="113" spans="2:15" s="969" customFormat="1" ht="14.25" thickBot="1">
      <c r="B113" s="985" t="str">
        <f t="shared" si="7"/>
        <v>MAGDALENA</v>
      </c>
      <c r="C113" s="986">
        <f t="shared" si="8"/>
        <v>9600</v>
      </c>
      <c r="D113" s="987">
        <f t="shared" si="9"/>
        <v>37025.397143248454</v>
      </c>
      <c r="E113" s="988">
        <f>+C113*D113*'Parametros Generales'!$C$6</f>
        <v>1777219062.875926</v>
      </c>
      <c r="F113" s="1040">
        <f t="shared" ref="F113:F144" si="21">+IFERROR(IF(F112+1&gt;34,"",F112+1),"")</f>
        <v>5</v>
      </c>
      <c r="G113" s="989" t="str">
        <f t="shared" si="18"/>
        <v>GUAVIARE</v>
      </c>
      <c r="H113" s="1006">
        <f t="shared" si="19"/>
        <v>1000</v>
      </c>
      <c r="I113" s="1007">
        <f t="shared" si="20"/>
        <v>37838.43363908802</v>
      </c>
      <c r="J113" s="992">
        <f>+IFERROR(H113*I113*'Parametros Generales'!$C$6,"")</f>
        <v>189192168.19544011</v>
      </c>
      <c r="K113" s="1040"/>
      <c r="L113" s="1046" t="s">
        <v>1431</v>
      </c>
      <c r="M113" s="1047">
        <f>+SUM(M105:M112)</f>
        <v>39650</v>
      </c>
      <c r="N113" s="999">
        <f>+O113/M113/'Parametros Generales'!$C$6</f>
        <v>37554.754232623687</v>
      </c>
      <c r="O113" s="1000">
        <f>+SUM(O105:O112)</f>
        <v>7445230026.6176462</v>
      </c>
    </row>
    <row r="114" spans="2:15" s="969" customFormat="1" ht="13.5">
      <c r="B114" s="985" t="str">
        <f t="shared" si="7"/>
        <v>META</v>
      </c>
      <c r="C114" s="986">
        <f t="shared" si="8"/>
        <v>3400</v>
      </c>
      <c r="D114" s="987">
        <f t="shared" si="9"/>
        <v>37025.397143248454</v>
      </c>
      <c r="E114" s="988">
        <f>+C114*D114*'Parametros Generales'!$C$6</f>
        <v>629431751.4352237</v>
      </c>
      <c r="F114" s="1040">
        <f t="shared" si="21"/>
        <v>6</v>
      </c>
      <c r="G114" s="989" t="str">
        <f t="shared" si="18"/>
        <v>CASANARE</v>
      </c>
      <c r="H114" s="1006">
        <f t="shared" si="19"/>
        <v>2400</v>
      </c>
      <c r="I114" s="1007">
        <f t="shared" si="20"/>
        <v>37696.550190877693</v>
      </c>
      <c r="J114" s="992">
        <f>+IFERROR(H114*I114*'Parametros Generales'!$C$6,"")</f>
        <v>452358602.29053229</v>
      </c>
      <c r="K114" s="1040"/>
      <c r="L114" s="979"/>
      <c r="M114" s="1001"/>
      <c r="N114" s="1002"/>
      <c r="O114" s="1003"/>
    </row>
    <row r="115" spans="2:15" s="969" customFormat="1" ht="14.25" thickBot="1">
      <c r="B115" s="985" t="str">
        <f t="shared" si="7"/>
        <v>NARIÑO</v>
      </c>
      <c r="C115" s="986">
        <f t="shared" si="8"/>
        <v>16400</v>
      </c>
      <c r="D115" s="987">
        <f t="shared" si="9"/>
        <v>37025.397143248454</v>
      </c>
      <c r="E115" s="988">
        <f>+C115*D115*'Parametros Generales'!$C$6</f>
        <v>3036082565.7463732</v>
      </c>
      <c r="F115" s="1040">
        <f t="shared" si="21"/>
        <v>7</v>
      </c>
      <c r="G115" s="989" t="str">
        <f t="shared" si="18"/>
        <v>QUINDÍO</v>
      </c>
      <c r="H115" s="1006">
        <f t="shared" si="19"/>
        <v>2800</v>
      </c>
      <c r="I115" s="1007">
        <f t="shared" si="20"/>
        <v>37669.960930090841</v>
      </c>
      <c r="J115" s="992">
        <f>+IFERROR(H115*I115*'Parametros Generales'!$C$6,"")</f>
        <v>527379453.02127177</v>
      </c>
      <c r="K115" s="1040"/>
      <c r="L115" s="1045"/>
      <c r="M115" s="990"/>
      <c r="N115" s="1024"/>
      <c r="O115" s="1025"/>
    </row>
    <row r="116" spans="2:15" s="969" customFormat="1" ht="13.5">
      <c r="B116" s="985" t="str">
        <f t="shared" si="7"/>
        <v>NORTE DE SANTANDER</v>
      </c>
      <c r="C116" s="986">
        <f t="shared" si="8"/>
        <v>4700</v>
      </c>
      <c r="D116" s="987">
        <f t="shared" si="9"/>
        <v>37025.397143248454</v>
      </c>
      <c r="E116" s="988">
        <f>+C116*D116*'Parametros Generales'!$C$6</f>
        <v>870096832.86633861</v>
      </c>
      <c r="F116" s="1040">
        <f t="shared" si="21"/>
        <v>8</v>
      </c>
      <c r="G116" s="989" t="str">
        <f t="shared" si="18"/>
        <v>ANTIOQUIA</v>
      </c>
      <c r="H116" s="1006">
        <f t="shared" si="19"/>
        <v>19200</v>
      </c>
      <c r="I116" s="1007">
        <f t="shared" si="20"/>
        <v>37557.684025903385</v>
      </c>
      <c r="J116" s="992">
        <f>+IFERROR(H116*I116*'Parametros Generales'!$C$6,"")</f>
        <v>3605537666.4867253</v>
      </c>
      <c r="K116" s="1040">
        <f>+K112+1</f>
        <v>12</v>
      </c>
      <c r="L116" s="1022" t="str">
        <f t="shared" ref="L116:L138" si="22">+IFERROR(VLOOKUP(N116,$U$4:$V$42,2,0),"")</f>
        <v>RISARALDA</v>
      </c>
      <c r="M116" s="1004">
        <f t="shared" ref="M116:M138" si="23">+IFERROR(VLOOKUP(N116,$U$4:$W$42,3,0),"")</f>
        <v>2300</v>
      </c>
      <c r="N116" s="1005">
        <f t="shared" ref="N116:N138" si="24">+IFERROR(LARGE($U$9:$U$41,K116),0)</f>
        <v>37305.066313507501</v>
      </c>
      <c r="O116" s="984">
        <f>+IFERROR(M116*N116*'Parametros Generales'!$C$6,"")</f>
        <v>429008262.60533625</v>
      </c>
    </row>
    <row r="117" spans="2:15" s="969" customFormat="1" ht="13.5">
      <c r="B117" s="985" t="str">
        <f t="shared" si="7"/>
        <v>QUINDÍO</v>
      </c>
      <c r="C117" s="986">
        <f t="shared" si="8"/>
        <v>2800</v>
      </c>
      <c r="D117" s="987">
        <f t="shared" si="9"/>
        <v>37025.397143248454</v>
      </c>
      <c r="E117" s="988">
        <f>+C117*D117*'Parametros Generales'!$C$6</f>
        <v>518355560.00547832</v>
      </c>
      <c r="F117" s="1040">
        <f t="shared" si="21"/>
        <v>9</v>
      </c>
      <c r="G117" s="989" t="str">
        <f t="shared" si="18"/>
        <v>CAUCA</v>
      </c>
      <c r="H117" s="1006">
        <f t="shared" si="19"/>
        <v>7600</v>
      </c>
      <c r="I117" s="1007">
        <f t="shared" si="20"/>
        <v>37476.810995187712</v>
      </c>
      <c r="J117" s="992">
        <f>+IFERROR(H117*I117*'Parametros Generales'!$C$6,"")</f>
        <v>1424118817.8171329</v>
      </c>
      <c r="K117" s="1040">
        <f t="shared" ref="K117:K139" si="25">+IFERROR(IF(K116+1&gt;34,"",K116+1),"")</f>
        <v>13</v>
      </c>
      <c r="L117" s="1023" t="str">
        <f t="shared" si="22"/>
        <v>CESAR</v>
      </c>
      <c r="M117" s="1006">
        <f t="shared" si="23"/>
        <v>5500</v>
      </c>
      <c r="N117" s="1007">
        <f t="shared" si="24"/>
        <v>37196.283289802333</v>
      </c>
      <c r="O117" s="992">
        <f>+IFERROR(M117*N117*'Parametros Generales'!$C$6,"")</f>
        <v>1022897790.4695642</v>
      </c>
    </row>
    <row r="118" spans="2:15" s="969" customFormat="1" ht="13.5">
      <c r="B118" s="985" t="str">
        <f t="shared" si="7"/>
        <v>RISARALDA</v>
      </c>
      <c r="C118" s="986">
        <f t="shared" si="8"/>
        <v>2300</v>
      </c>
      <c r="D118" s="987">
        <f t="shared" si="9"/>
        <v>37025.397143248454</v>
      </c>
      <c r="E118" s="988">
        <f>+C118*D118*'Parametros Generales'!$C$6</f>
        <v>425792067.14735723</v>
      </c>
      <c r="F118" s="1040">
        <f t="shared" si="21"/>
        <v>10</v>
      </c>
      <c r="G118" s="989" t="str">
        <f t="shared" si="18"/>
        <v>AMAZONAS</v>
      </c>
      <c r="H118" s="1006">
        <f t="shared" si="19"/>
        <v>1200</v>
      </c>
      <c r="I118" s="1007">
        <f t="shared" si="20"/>
        <v>37380.179948409976</v>
      </c>
      <c r="J118" s="992">
        <f>+IFERROR(H118*I118*'Parametros Generales'!$C$6,"")</f>
        <v>224281079.69045985</v>
      </c>
      <c r="K118" s="1040">
        <f t="shared" si="25"/>
        <v>14</v>
      </c>
      <c r="L118" s="1023" t="str">
        <f t="shared" si="22"/>
        <v>ATLÁNTICO</v>
      </c>
      <c r="M118" s="1006">
        <f t="shared" si="23"/>
        <v>5600</v>
      </c>
      <c r="N118" s="1007">
        <f t="shared" si="24"/>
        <v>37178.408661866924</v>
      </c>
      <c r="O118" s="992">
        <f>+IFERROR(M118*N118*'Parametros Generales'!$C$6,"")</f>
        <v>1040995442.5322738</v>
      </c>
    </row>
    <row r="119" spans="2:15" s="969" customFormat="1" ht="13.5">
      <c r="B119" s="985" t="str">
        <f t="shared" si="7"/>
        <v>SANTANDER</v>
      </c>
      <c r="C119" s="986">
        <f t="shared" si="8"/>
        <v>6050</v>
      </c>
      <c r="D119" s="987">
        <f t="shared" si="9"/>
        <v>37025.397143248454</v>
      </c>
      <c r="E119" s="988">
        <f>+C119*D119*'Parametros Generales'!$C$6</f>
        <v>1120018263.5832658</v>
      </c>
      <c r="F119" s="1040">
        <f t="shared" si="21"/>
        <v>11</v>
      </c>
      <c r="G119" s="989" t="str">
        <f t="shared" si="18"/>
        <v>NORTE DE SANTANDER</v>
      </c>
      <c r="H119" s="1006">
        <f t="shared" si="19"/>
        <v>4700</v>
      </c>
      <c r="I119" s="1007">
        <f t="shared" si="20"/>
        <v>37320.477033592251</v>
      </c>
      <c r="J119" s="992">
        <f>+IFERROR(H119*I119*'Parametros Generales'!$C$6,"")</f>
        <v>877031210.28941798</v>
      </c>
      <c r="K119" s="1040">
        <f t="shared" si="25"/>
        <v>15</v>
      </c>
      <c r="L119" s="1023" t="str">
        <f t="shared" si="22"/>
        <v>VALLE DEL CAUCA</v>
      </c>
      <c r="M119" s="1006">
        <f t="shared" si="23"/>
        <v>11750</v>
      </c>
      <c r="N119" s="1007">
        <f t="shared" si="24"/>
        <v>37112.963586712562</v>
      </c>
      <c r="O119" s="992">
        <f>+IFERROR(M119*N119*'Parametros Generales'!$C$6,"")</f>
        <v>2180386610.7193632</v>
      </c>
    </row>
    <row r="120" spans="2:15" s="969" customFormat="1" ht="13.5">
      <c r="B120" s="985" t="str">
        <f t="shared" si="7"/>
        <v>SUCRE</v>
      </c>
      <c r="C120" s="986">
        <f t="shared" si="8"/>
        <v>6000</v>
      </c>
      <c r="D120" s="987">
        <f t="shared" si="9"/>
        <v>37025.397143248454</v>
      </c>
      <c r="E120" s="988">
        <f>+C120*D120*'Parametros Generales'!$C$6</f>
        <v>1110761914.2974536</v>
      </c>
      <c r="F120" s="1040">
        <f t="shared" si="21"/>
        <v>12</v>
      </c>
      <c r="G120" s="989" t="str">
        <f t="shared" si="18"/>
        <v>RISARALDA</v>
      </c>
      <c r="H120" s="1006">
        <f t="shared" si="19"/>
        <v>2300</v>
      </c>
      <c r="I120" s="1007">
        <f t="shared" si="20"/>
        <v>37305.066313507501</v>
      </c>
      <c r="J120" s="992">
        <f>+IFERROR(H120*I120*'Parametros Generales'!$C$6,"")</f>
        <v>429008262.60533625</v>
      </c>
      <c r="K120" s="1040">
        <f t="shared" si="25"/>
        <v>16</v>
      </c>
      <c r="L120" s="1023" t="str">
        <f t="shared" si="22"/>
        <v>SUCRE</v>
      </c>
      <c r="M120" s="1006">
        <f t="shared" si="23"/>
        <v>6000</v>
      </c>
      <c r="N120" s="1007">
        <f t="shared" si="24"/>
        <v>37112.868359437081</v>
      </c>
      <c r="O120" s="992">
        <f>+IFERROR(M120*N120*'Parametros Generales'!$C$6,"")</f>
        <v>1113386050.7831125</v>
      </c>
    </row>
    <row r="121" spans="2:15" s="969" customFormat="1" ht="13.5">
      <c r="B121" s="985" t="str">
        <f t="shared" si="7"/>
        <v>TOLIMA</v>
      </c>
      <c r="C121" s="986">
        <f t="shared" si="8"/>
        <v>6300</v>
      </c>
      <c r="D121" s="987">
        <f t="shared" si="9"/>
        <v>37025.397143248454</v>
      </c>
      <c r="E121" s="988">
        <f>+C121*D121*'Parametros Generales'!$C$6</f>
        <v>1166300010.0123262</v>
      </c>
      <c r="F121" s="1040">
        <f t="shared" si="21"/>
        <v>13</v>
      </c>
      <c r="G121" s="989" t="str">
        <f t="shared" si="18"/>
        <v>CESAR</v>
      </c>
      <c r="H121" s="1006">
        <f t="shared" si="19"/>
        <v>5500</v>
      </c>
      <c r="I121" s="1007">
        <f t="shared" si="20"/>
        <v>37196.283289802333</v>
      </c>
      <c r="J121" s="992">
        <f>+IFERROR(H121*I121*'Parametros Generales'!$C$6,"")</f>
        <v>1022897790.4695642</v>
      </c>
      <c r="K121" s="1040">
        <f t="shared" si="25"/>
        <v>17</v>
      </c>
      <c r="L121" s="1023" t="str">
        <f t="shared" si="22"/>
        <v>SANTANDER</v>
      </c>
      <c r="M121" s="1006">
        <f t="shared" si="23"/>
        <v>6050</v>
      </c>
      <c r="N121" s="1007">
        <f t="shared" si="24"/>
        <v>37105.285183949323</v>
      </c>
      <c r="O121" s="992">
        <f>+IFERROR(M121*N121*'Parametros Generales'!$C$6,"")</f>
        <v>1122434876.814467</v>
      </c>
    </row>
    <row r="122" spans="2:15" s="969" customFormat="1" ht="13.5">
      <c r="B122" s="985" t="str">
        <f t="shared" si="7"/>
        <v>VALLE DEL CAUCA</v>
      </c>
      <c r="C122" s="986">
        <f t="shared" si="8"/>
        <v>11750</v>
      </c>
      <c r="D122" s="987">
        <f t="shared" si="9"/>
        <v>37025.397143248454</v>
      </c>
      <c r="E122" s="988">
        <f>+C122*D122*'Parametros Generales'!$C$6</f>
        <v>2175242082.1658468</v>
      </c>
      <c r="F122" s="1040">
        <f t="shared" si="21"/>
        <v>14</v>
      </c>
      <c r="G122" s="989" t="str">
        <f t="shared" si="18"/>
        <v>ATLÁNTICO</v>
      </c>
      <c r="H122" s="1006">
        <f t="shared" si="19"/>
        <v>5600</v>
      </c>
      <c r="I122" s="1007">
        <f t="shared" si="20"/>
        <v>37178.408661866924</v>
      </c>
      <c r="J122" s="992">
        <f>+IFERROR(H122*I122*'Parametros Generales'!$C$6,"")</f>
        <v>1040995442.5322738</v>
      </c>
      <c r="K122" s="1040">
        <f t="shared" si="25"/>
        <v>18</v>
      </c>
      <c r="L122" s="1023" t="str">
        <f t="shared" si="22"/>
        <v>CHOCÓ</v>
      </c>
      <c r="M122" s="1006">
        <f t="shared" si="23"/>
        <v>6150</v>
      </c>
      <c r="N122" s="1007">
        <f t="shared" si="24"/>
        <v>37090.488743973212</v>
      </c>
      <c r="O122" s="992">
        <f>+IFERROR(M122*N122*'Parametros Generales'!$C$6,"")</f>
        <v>1140532528.8771763</v>
      </c>
    </row>
    <row r="123" spans="2:15" s="969" customFormat="1" ht="13.5">
      <c r="B123" s="985" t="str">
        <f t="shared" si="7"/>
        <v>ARAUCA</v>
      </c>
      <c r="C123" s="986">
        <f t="shared" si="8"/>
        <v>1900</v>
      </c>
      <c r="D123" s="987">
        <f t="shared" si="9"/>
        <v>37025.397143248454</v>
      </c>
      <c r="E123" s="988">
        <f>+C123*D123*'Parametros Generales'!$C$6</f>
        <v>351741272.86086029</v>
      </c>
      <c r="F123" s="1040">
        <f t="shared" si="21"/>
        <v>15</v>
      </c>
      <c r="G123" s="989" t="str">
        <f t="shared" si="18"/>
        <v>VALLE DEL CAUCA</v>
      </c>
      <c r="H123" s="1006">
        <f t="shared" si="19"/>
        <v>11750</v>
      </c>
      <c r="I123" s="1007">
        <f t="shared" si="20"/>
        <v>37112.963586712562</v>
      </c>
      <c r="J123" s="992">
        <f>+IFERROR(H123*I123*'Parametros Generales'!$C$6,"")</f>
        <v>2180386610.7193632</v>
      </c>
      <c r="K123" s="1040">
        <f t="shared" si="25"/>
        <v>19</v>
      </c>
      <c r="L123" s="1023" t="str">
        <f t="shared" si="22"/>
        <v>MAGDALENA</v>
      </c>
      <c r="M123" s="1006">
        <f t="shared" si="23"/>
        <v>9600</v>
      </c>
      <c r="N123" s="1007">
        <f t="shared" si="24"/>
        <v>36912.151183245631</v>
      </c>
      <c r="O123" s="992">
        <f>+IFERROR(M123*N123*'Parametros Generales'!$C$6,"")</f>
        <v>1771783256.7957902</v>
      </c>
    </row>
    <row r="124" spans="2:15" s="969" customFormat="1" ht="13.5">
      <c r="B124" s="985" t="str">
        <f t="shared" si="7"/>
        <v>CASANARE</v>
      </c>
      <c r="C124" s="986">
        <f t="shared" si="8"/>
        <v>2400</v>
      </c>
      <c r="D124" s="987">
        <f t="shared" si="9"/>
        <v>37025.397143248454</v>
      </c>
      <c r="E124" s="988">
        <f>+C124*D124*'Parametros Generales'!$C$6</f>
        <v>444304765.7189815</v>
      </c>
      <c r="F124" s="1040">
        <f t="shared" si="21"/>
        <v>16</v>
      </c>
      <c r="G124" s="989" t="str">
        <f t="shared" si="18"/>
        <v>SUCRE</v>
      </c>
      <c r="H124" s="1006">
        <f t="shared" si="19"/>
        <v>6000</v>
      </c>
      <c r="I124" s="1007">
        <f t="shared" si="20"/>
        <v>37112.868359437081</v>
      </c>
      <c r="J124" s="992">
        <f>+IFERROR(H124*I124*'Parametros Generales'!$C$6,"")</f>
        <v>1113386050.7831125</v>
      </c>
      <c r="K124" s="1040">
        <f t="shared" si="25"/>
        <v>20</v>
      </c>
      <c r="L124" s="1023" t="str">
        <f t="shared" si="22"/>
        <v>CÓRDOBA</v>
      </c>
      <c r="M124" s="1006">
        <f t="shared" si="23"/>
        <v>7900</v>
      </c>
      <c r="N124" s="1007">
        <f t="shared" si="24"/>
        <v>36892.188353787176</v>
      </c>
      <c r="O124" s="992">
        <f>+IFERROR(M124*N124*'Parametros Generales'!$C$6,"")</f>
        <v>1457241439.9745936</v>
      </c>
    </row>
    <row r="125" spans="2:15" s="969" customFormat="1" ht="13.5">
      <c r="B125" s="985" t="str">
        <f t="shared" si="7"/>
        <v>PUTUMAYO</v>
      </c>
      <c r="C125" s="986">
        <f t="shared" si="8"/>
        <v>3100</v>
      </c>
      <c r="D125" s="987">
        <f t="shared" si="9"/>
        <v>37025.397143248454</v>
      </c>
      <c r="E125" s="988">
        <f>+C125*D125*'Parametros Generales'!$C$6</f>
        <v>573893655.72035098</v>
      </c>
      <c r="F125" s="1040">
        <f t="shared" si="21"/>
        <v>17</v>
      </c>
      <c r="G125" s="989" t="str">
        <f t="shared" si="18"/>
        <v>SANTANDER</v>
      </c>
      <c r="H125" s="1006">
        <f t="shared" si="19"/>
        <v>6050</v>
      </c>
      <c r="I125" s="1007">
        <f t="shared" si="20"/>
        <v>37105.285183949323</v>
      </c>
      <c r="J125" s="992">
        <f>+IFERROR(H125*I125*'Parametros Generales'!$C$6,"")</f>
        <v>1122434876.814467</v>
      </c>
      <c r="K125" s="1040">
        <f t="shared" si="25"/>
        <v>21</v>
      </c>
      <c r="L125" s="1023" t="str">
        <f t="shared" si="22"/>
        <v>CUNDINAMARCA</v>
      </c>
      <c r="M125" s="1006">
        <f t="shared" si="23"/>
        <v>8500</v>
      </c>
      <c r="N125" s="1007">
        <f t="shared" si="24"/>
        <v>36883.949804863172</v>
      </c>
      <c r="O125" s="992">
        <f>+IFERROR(M125*N125*'Parametros Generales'!$C$6,"")</f>
        <v>1567567866.7066848</v>
      </c>
    </row>
    <row r="126" spans="2:15" s="969" customFormat="1" ht="13.5">
      <c r="B126" s="985" t="str">
        <f t="shared" si="7"/>
        <v>ARCHIPIELAGO DE SAN ANDRES</v>
      </c>
      <c r="C126" s="986">
        <f t="shared" si="8"/>
        <v>750</v>
      </c>
      <c r="D126" s="987">
        <f t="shared" si="9"/>
        <v>37025.397143248454</v>
      </c>
      <c r="E126" s="988">
        <f>+C126*D126*'Parametros Generales'!$C$6</f>
        <v>138845239.28718171</v>
      </c>
      <c r="F126" s="1040">
        <f t="shared" si="21"/>
        <v>18</v>
      </c>
      <c r="G126" s="989" t="str">
        <f t="shared" si="18"/>
        <v>CHOCÓ</v>
      </c>
      <c r="H126" s="1006">
        <f t="shared" si="19"/>
        <v>6150</v>
      </c>
      <c r="I126" s="1007">
        <f t="shared" si="20"/>
        <v>37090.488743973212</v>
      </c>
      <c r="J126" s="992">
        <f>+IFERROR(H126*I126*'Parametros Generales'!$C$6,"")</f>
        <v>1140532528.8771763</v>
      </c>
      <c r="K126" s="1040">
        <f t="shared" si="25"/>
        <v>22</v>
      </c>
      <c r="L126" s="1023" t="str">
        <f t="shared" si="22"/>
        <v>BOLIVAR</v>
      </c>
      <c r="M126" s="1006">
        <f t="shared" si="23"/>
        <v>8100</v>
      </c>
      <c r="N126" s="1007">
        <f t="shared" si="24"/>
        <v>36874.981335802782</v>
      </c>
      <c r="O126" s="992">
        <f>+IFERROR(M126*N126*'Parametros Generales'!$C$6,"")</f>
        <v>1493436744.1000128</v>
      </c>
    </row>
    <row r="127" spans="2:15" s="969" customFormat="1" ht="13.5">
      <c r="B127" s="985" t="str">
        <f t="shared" si="7"/>
        <v>AMAZONAS</v>
      </c>
      <c r="C127" s="986">
        <f t="shared" si="8"/>
        <v>1200</v>
      </c>
      <c r="D127" s="987">
        <f t="shared" si="9"/>
        <v>37025.397143248454</v>
      </c>
      <c r="E127" s="988">
        <f>+C127*D127*'Parametros Generales'!$C$6</f>
        <v>222152382.85949075</v>
      </c>
      <c r="F127" s="1040">
        <f t="shared" si="21"/>
        <v>19</v>
      </c>
      <c r="G127" s="989" t="str">
        <f t="shared" si="18"/>
        <v>MAGDALENA</v>
      </c>
      <c r="H127" s="1006">
        <f t="shared" si="19"/>
        <v>9600</v>
      </c>
      <c r="I127" s="1007">
        <f t="shared" si="20"/>
        <v>36912.151183245631</v>
      </c>
      <c r="J127" s="992">
        <f>+IFERROR(H127*I127*'Parametros Generales'!$C$6,"")</f>
        <v>1771783256.7957902</v>
      </c>
      <c r="K127" s="1040">
        <f t="shared" si="25"/>
        <v>23</v>
      </c>
      <c r="L127" s="1023" t="str">
        <f t="shared" si="22"/>
        <v>PUTUMAYO</v>
      </c>
      <c r="M127" s="1006">
        <f t="shared" si="23"/>
        <v>3100</v>
      </c>
      <c r="N127" s="1007">
        <f t="shared" si="24"/>
        <v>36871.183018706026</v>
      </c>
      <c r="O127" s="992">
        <f>+IFERROR(M127*N127*'Parametros Generales'!$C$6,"")</f>
        <v>571503336.78994346</v>
      </c>
    </row>
    <row r="128" spans="2:15" s="969" customFormat="1" ht="12.75" customHeight="1">
      <c r="B128" s="985" t="str">
        <f t="shared" si="7"/>
        <v>GUAINIA</v>
      </c>
      <c r="C128" s="986">
        <f t="shared" si="8"/>
        <v>400</v>
      </c>
      <c r="D128" s="987">
        <f t="shared" si="9"/>
        <v>37025.397143248454</v>
      </c>
      <c r="E128" s="988">
        <f>+C128*D128*'Parametros Generales'!$C$6</f>
        <v>74050794.286496907</v>
      </c>
      <c r="F128" s="1040">
        <f t="shared" si="21"/>
        <v>20</v>
      </c>
      <c r="G128" s="989" t="str">
        <f t="shared" si="18"/>
        <v>CÓRDOBA</v>
      </c>
      <c r="H128" s="1006">
        <f t="shared" si="19"/>
        <v>7900</v>
      </c>
      <c r="I128" s="1007">
        <f t="shared" si="20"/>
        <v>36892.188353787176</v>
      </c>
      <c r="J128" s="992">
        <f>+IFERROR(H128*I128*'Parametros Generales'!$C$6,"")</f>
        <v>1457241439.9745936</v>
      </c>
      <c r="K128" s="1040">
        <f t="shared" si="25"/>
        <v>24</v>
      </c>
      <c r="L128" s="1023" t="str">
        <f t="shared" si="22"/>
        <v>CAQUETA</v>
      </c>
      <c r="M128" s="1006">
        <f t="shared" si="23"/>
        <v>3800</v>
      </c>
      <c r="N128" s="1007">
        <f t="shared" si="24"/>
        <v>36868.671688071932</v>
      </c>
      <c r="O128" s="992">
        <f>+IFERROR(M128*N128*'Parametros Generales'!$C$6,"")</f>
        <v>700504762.07336664</v>
      </c>
    </row>
    <row r="129" spans="2:15" s="969" customFormat="1" ht="13.5">
      <c r="B129" s="985" t="str">
        <f t="shared" si="7"/>
        <v>GUAVIARE</v>
      </c>
      <c r="C129" s="986">
        <f t="shared" si="8"/>
        <v>1000</v>
      </c>
      <c r="D129" s="987">
        <f t="shared" si="9"/>
        <v>37025.397143248454</v>
      </c>
      <c r="E129" s="988">
        <f>+C129*D129*'Parametros Generales'!$C$6</f>
        <v>185126985.71624225</v>
      </c>
      <c r="F129" s="1040">
        <f t="shared" si="21"/>
        <v>21</v>
      </c>
      <c r="G129" s="989" t="str">
        <f t="shared" si="18"/>
        <v>CUNDINAMARCA</v>
      </c>
      <c r="H129" s="1006">
        <f t="shared" si="19"/>
        <v>8500</v>
      </c>
      <c r="I129" s="1007">
        <f t="shared" si="20"/>
        <v>36883.949804863172</v>
      </c>
      <c r="J129" s="992">
        <f>+IFERROR(H129*I129*'Parametros Generales'!$C$6,"")</f>
        <v>1567567866.7066848</v>
      </c>
      <c r="K129" s="1040">
        <f t="shared" si="25"/>
        <v>25</v>
      </c>
      <c r="L129" s="1023" t="str">
        <f t="shared" si="22"/>
        <v>NARIÑO</v>
      </c>
      <c r="M129" s="1006">
        <f t="shared" si="23"/>
        <v>16400</v>
      </c>
      <c r="N129" s="1007">
        <f t="shared" si="24"/>
        <v>36849.540793278997</v>
      </c>
      <c r="O129" s="992">
        <f>+IFERROR(M129*N129*'Parametros Generales'!$C$6,"")</f>
        <v>3021662345.0488777</v>
      </c>
    </row>
    <row r="130" spans="2:15" s="969" customFormat="1" ht="13.5">
      <c r="B130" s="985" t="str">
        <f t="shared" si="7"/>
        <v>VAUPES</v>
      </c>
      <c r="C130" s="986">
        <f t="shared" si="8"/>
        <v>400</v>
      </c>
      <c r="D130" s="987">
        <f t="shared" si="9"/>
        <v>37025.397143248454</v>
      </c>
      <c r="E130" s="988">
        <f>+C130*D130*'Parametros Generales'!$C$6</f>
        <v>74050794.286496907</v>
      </c>
      <c r="F130" s="1040">
        <f t="shared" si="21"/>
        <v>22</v>
      </c>
      <c r="G130" s="989" t="str">
        <f t="shared" si="18"/>
        <v>BOLIVAR</v>
      </c>
      <c r="H130" s="1006">
        <f t="shared" si="19"/>
        <v>8100</v>
      </c>
      <c r="I130" s="1007">
        <f t="shared" si="20"/>
        <v>36874.981335802782</v>
      </c>
      <c r="J130" s="992">
        <f>+IFERROR(H130*I130*'Parametros Generales'!$C$6,"")</f>
        <v>1493436744.1000128</v>
      </c>
      <c r="K130" s="1040">
        <f t="shared" si="25"/>
        <v>26</v>
      </c>
      <c r="L130" s="1023" t="str">
        <f t="shared" si="22"/>
        <v>LA GUAJIRA</v>
      </c>
      <c r="M130" s="1006">
        <f t="shared" si="23"/>
        <v>3000</v>
      </c>
      <c r="N130" s="1007">
        <f t="shared" si="24"/>
        <v>36769.828966930181</v>
      </c>
      <c r="O130" s="992">
        <f>+IFERROR(M130*N130*'Parametros Generales'!$C$6,"")</f>
        <v>551547434.50395274</v>
      </c>
    </row>
    <row r="131" spans="2:15" s="969" customFormat="1" ht="13.5">
      <c r="B131" s="985" t="str">
        <f t="shared" si="7"/>
        <v>VICHADA</v>
      </c>
      <c r="C131" s="986">
        <f t="shared" si="8"/>
        <v>650</v>
      </c>
      <c r="D131" s="987">
        <f t="shared" si="9"/>
        <v>37025.397143248454</v>
      </c>
      <c r="E131" s="988">
        <f>+C131*D131*'Parametros Generales'!$C$6</f>
        <v>120332540.71555747</v>
      </c>
      <c r="F131" s="1040">
        <f t="shared" si="21"/>
        <v>23</v>
      </c>
      <c r="G131" s="989" t="str">
        <f t="shared" si="18"/>
        <v>PUTUMAYO</v>
      </c>
      <c r="H131" s="1006">
        <f t="shared" si="19"/>
        <v>3100</v>
      </c>
      <c r="I131" s="1007">
        <f t="shared" si="20"/>
        <v>36871.183018706026</v>
      </c>
      <c r="J131" s="992">
        <f>+IFERROR(H131*I131*'Parametros Generales'!$C$6,"")</f>
        <v>571503336.78994346</v>
      </c>
      <c r="K131" s="1040">
        <f t="shared" si="25"/>
        <v>27</v>
      </c>
      <c r="L131" s="1023" t="str">
        <f t="shared" si="22"/>
        <v>META</v>
      </c>
      <c r="M131" s="1006">
        <f t="shared" si="23"/>
        <v>3400</v>
      </c>
      <c r="N131" s="1007">
        <f t="shared" si="24"/>
        <v>36608.040835607208</v>
      </c>
      <c r="O131" s="992">
        <f>+IFERROR(M131*N131*'Parametros Generales'!$C$6,"")</f>
        <v>622336694.2053225</v>
      </c>
    </row>
    <row r="132" spans="2:15" s="969" customFormat="1" ht="14.25" thickBot="1">
      <c r="B132" s="1008" t="str">
        <f t="shared" si="7"/>
        <v>BOGOTÁ</v>
      </c>
      <c r="C132" s="1009">
        <f t="shared" si="8"/>
        <v>0</v>
      </c>
      <c r="D132" s="1010">
        <f t="shared" si="9"/>
        <v>37025.397143248454</v>
      </c>
      <c r="E132" s="1011">
        <f>+C132*D132*'Parametros Generales'!$C$6</f>
        <v>0</v>
      </c>
      <c r="F132" s="1040">
        <f t="shared" si="21"/>
        <v>24</v>
      </c>
      <c r="G132" s="989" t="str">
        <f t="shared" si="18"/>
        <v>CAQUETA</v>
      </c>
      <c r="H132" s="1006">
        <f t="shared" si="19"/>
        <v>3800</v>
      </c>
      <c r="I132" s="1007">
        <f t="shared" si="20"/>
        <v>36868.671688071932</v>
      </c>
      <c r="J132" s="992">
        <f>+IFERROR(H132*I132*'Parametros Generales'!$C$6,"")</f>
        <v>700504762.07336664</v>
      </c>
      <c r="K132" s="1040">
        <f t="shared" si="25"/>
        <v>28</v>
      </c>
      <c r="L132" s="1023" t="str">
        <f t="shared" si="22"/>
        <v>ARAUCA</v>
      </c>
      <c r="M132" s="1006">
        <f t="shared" si="23"/>
        <v>1900</v>
      </c>
      <c r="N132" s="1007">
        <f t="shared" si="24"/>
        <v>36536.028412950414</v>
      </c>
      <c r="O132" s="992">
        <f>+IFERROR(M132*N132*'Parametros Generales'!$C$6,"")</f>
        <v>347092269.92302895</v>
      </c>
    </row>
    <row r="133" spans="2:15" s="969" customFormat="1" ht="15.75" customHeight="1" thickBot="1">
      <c r="B133" s="1012" t="str">
        <f t="shared" ref="B133" si="26">B42</f>
        <v xml:space="preserve">TOTAL </v>
      </c>
      <c r="C133" s="1013">
        <f>+SUM(C100:C132)</f>
        <v>175400</v>
      </c>
      <c r="D133" s="1014">
        <f>+E133/C133/'Parametros Generales'!$C$6</f>
        <v>37025.397143248454</v>
      </c>
      <c r="E133" s="1015">
        <f>+SUM(E100:E132)</f>
        <v>32471273294.628891</v>
      </c>
      <c r="F133" s="1040">
        <f t="shared" si="21"/>
        <v>25</v>
      </c>
      <c r="G133" s="989" t="str">
        <f t="shared" si="18"/>
        <v>NARIÑO</v>
      </c>
      <c r="H133" s="1006">
        <f t="shared" si="19"/>
        <v>16400</v>
      </c>
      <c r="I133" s="1007">
        <f t="shared" si="20"/>
        <v>36849.540793278997</v>
      </c>
      <c r="J133" s="992">
        <f>+IFERROR(H133*I133*'Parametros Generales'!$C$6,"")</f>
        <v>3021662345.0488777</v>
      </c>
      <c r="K133" s="1040">
        <f t="shared" si="25"/>
        <v>29</v>
      </c>
      <c r="L133" s="1023" t="str">
        <f t="shared" si="22"/>
        <v>BOYACA</v>
      </c>
      <c r="M133" s="1006">
        <f t="shared" si="23"/>
        <v>7000</v>
      </c>
      <c r="N133" s="1007">
        <f t="shared" si="24"/>
        <v>36504.630669183323</v>
      </c>
      <c r="O133" s="992">
        <f>+IFERROR(M133*N133*'Parametros Generales'!$C$6,"")</f>
        <v>1277662073.4214163</v>
      </c>
    </row>
    <row r="134" spans="2:15" s="969" customFormat="1" ht="13.5">
      <c r="B134" s="979"/>
      <c r="C134" s="979"/>
      <c r="D134" s="979"/>
      <c r="E134" s="979"/>
      <c r="F134" s="1040">
        <f t="shared" si="21"/>
        <v>26</v>
      </c>
      <c r="G134" s="989" t="str">
        <f t="shared" si="18"/>
        <v>LA GUAJIRA</v>
      </c>
      <c r="H134" s="1006">
        <f t="shared" si="19"/>
        <v>3000</v>
      </c>
      <c r="I134" s="1007">
        <f t="shared" si="20"/>
        <v>36769.828966930181</v>
      </c>
      <c r="J134" s="992">
        <f>+IFERROR(H134*I134*'Parametros Generales'!$C$6,"")</f>
        <v>551547434.50395274</v>
      </c>
      <c r="K134" s="1040">
        <f t="shared" si="25"/>
        <v>30</v>
      </c>
      <c r="L134" s="1023" t="str">
        <f t="shared" si="22"/>
        <v>HUILA</v>
      </c>
      <c r="M134" s="1006">
        <f t="shared" si="23"/>
        <v>4850</v>
      </c>
      <c r="N134" s="1007">
        <f t="shared" si="24"/>
        <v>36361.852507336196</v>
      </c>
      <c r="O134" s="992">
        <f>+IFERROR(M134*N134*'Parametros Generales'!$C$6,"")</f>
        <v>881774923.3029027</v>
      </c>
    </row>
    <row r="135" spans="2:15" s="969" customFormat="1" ht="13.5">
      <c r="B135" s="979"/>
      <c r="C135" s="979"/>
      <c r="D135" s="979"/>
      <c r="E135" s="979"/>
      <c r="F135" s="1040">
        <f t="shared" si="21"/>
        <v>27</v>
      </c>
      <c r="G135" s="989" t="str">
        <f t="shared" si="18"/>
        <v>META</v>
      </c>
      <c r="H135" s="1006">
        <f t="shared" si="19"/>
        <v>3400</v>
      </c>
      <c r="I135" s="1007">
        <f t="shared" si="20"/>
        <v>36608.040835607208</v>
      </c>
      <c r="J135" s="992">
        <f>+IFERROR(H135*I135*'Parametros Generales'!$C$6,"")</f>
        <v>622336694.2053225</v>
      </c>
      <c r="K135" s="1040">
        <f t="shared" si="25"/>
        <v>31</v>
      </c>
      <c r="L135" s="1023" t="str">
        <f t="shared" si="22"/>
        <v>TOLIMA</v>
      </c>
      <c r="M135" s="1006">
        <f t="shared" si="23"/>
        <v>6300</v>
      </c>
      <c r="N135" s="1007">
        <f t="shared" si="24"/>
        <v>36168.165741372635</v>
      </c>
      <c r="O135" s="992">
        <f>+IFERROR(M135*N135*'Parametros Generales'!$C$6,"")</f>
        <v>1139297220.8532379</v>
      </c>
    </row>
    <row r="136" spans="2:15" s="969" customFormat="1" ht="13.5">
      <c r="B136" s="979"/>
      <c r="C136" s="979"/>
      <c r="D136" s="979"/>
      <c r="E136" s="979"/>
      <c r="F136" s="1040">
        <f t="shared" si="21"/>
        <v>28</v>
      </c>
      <c r="G136" s="989" t="str">
        <f t="shared" si="18"/>
        <v>ARAUCA</v>
      </c>
      <c r="H136" s="1006">
        <f t="shared" si="19"/>
        <v>1900</v>
      </c>
      <c r="I136" s="1007">
        <f t="shared" si="20"/>
        <v>36536.028412950414</v>
      </c>
      <c r="J136" s="992">
        <f>+IFERROR(H136*I136*'Parametros Generales'!$C$6,"")</f>
        <v>347092269.92302895</v>
      </c>
      <c r="K136" s="1040">
        <f t="shared" si="25"/>
        <v>32</v>
      </c>
      <c r="L136" s="1023" t="str">
        <f t="shared" si="22"/>
        <v>CALDAS</v>
      </c>
      <c r="M136" s="1006">
        <f t="shared" si="23"/>
        <v>7100</v>
      </c>
      <c r="N136" s="1007">
        <f t="shared" si="24"/>
        <v>35975.448625340578</v>
      </c>
      <c r="O136" s="992">
        <f>+IFERROR(M136*N136*'Parametros Generales'!$C$6,"")</f>
        <v>1277128426.1995907</v>
      </c>
    </row>
    <row r="137" spans="2:15" s="969" customFormat="1" ht="13.5">
      <c r="B137" s="979"/>
      <c r="C137" s="979"/>
      <c r="D137" s="979"/>
      <c r="E137" s="979"/>
      <c r="F137" s="1040">
        <f t="shared" si="21"/>
        <v>29</v>
      </c>
      <c r="G137" s="989" t="str">
        <f t="shared" si="18"/>
        <v>BOYACA</v>
      </c>
      <c r="H137" s="1006">
        <f t="shared" si="19"/>
        <v>7000</v>
      </c>
      <c r="I137" s="1007">
        <f t="shared" si="20"/>
        <v>36504.630669183323</v>
      </c>
      <c r="J137" s="992">
        <f>+IFERROR(H137*I137*'Parametros Generales'!$C$6,"")</f>
        <v>1277662073.4214163</v>
      </c>
      <c r="K137" s="1040">
        <f t="shared" si="25"/>
        <v>33</v>
      </c>
      <c r="L137" s="1023" t="str">
        <f t="shared" si="22"/>
        <v>BOGOTÁ</v>
      </c>
      <c r="M137" s="1006">
        <f t="shared" si="23"/>
        <v>0</v>
      </c>
      <c r="N137" s="1007">
        <f t="shared" si="24"/>
        <v>1E-10</v>
      </c>
      <c r="O137" s="992">
        <f>+IFERROR(M137*N137*'Parametros Generales'!$C$6,"")</f>
        <v>0</v>
      </c>
    </row>
    <row r="138" spans="2:15" s="969" customFormat="1" ht="14.25" thickBot="1">
      <c r="B138" s="979"/>
      <c r="C138" s="979"/>
      <c r="D138" s="979"/>
      <c r="E138" s="979"/>
      <c r="F138" s="1040">
        <f t="shared" si="21"/>
        <v>30</v>
      </c>
      <c r="G138" s="989" t="str">
        <f t="shared" si="18"/>
        <v>HUILA</v>
      </c>
      <c r="H138" s="1006">
        <f t="shared" si="19"/>
        <v>4850</v>
      </c>
      <c r="I138" s="1007">
        <f t="shared" si="20"/>
        <v>36361.852507336196</v>
      </c>
      <c r="J138" s="992">
        <f>+IFERROR(H138*I138*'Parametros Generales'!$C$6,"")</f>
        <v>881774923.3029027</v>
      </c>
      <c r="K138" s="1040">
        <f t="shared" si="25"/>
        <v>34</v>
      </c>
      <c r="L138" s="1023" t="str">
        <f t="shared" si="22"/>
        <v/>
      </c>
      <c r="M138" s="1006" t="str">
        <f t="shared" si="23"/>
        <v/>
      </c>
      <c r="N138" s="1007">
        <f t="shared" si="24"/>
        <v>0</v>
      </c>
      <c r="O138" s="992" t="str">
        <f>+IFERROR(M138*N138*'Parametros Generales'!$C$6,"")</f>
        <v/>
      </c>
    </row>
    <row r="139" spans="2:15" s="969" customFormat="1" ht="14.25" thickBot="1">
      <c r="B139" s="979"/>
      <c r="C139" s="979"/>
      <c r="D139" s="979"/>
      <c r="E139" s="979"/>
      <c r="F139" s="1040">
        <f t="shared" si="21"/>
        <v>31</v>
      </c>
      <c r="G139" s="989" t="str">
        <f t="shared" si="18"/>
        <v>TOLIMA</v>
      </c>
      <c r="H139" s="1006">
        <f t="shared" si="19"/>
        <v>6300</v>
      </c>
      <c r="I139" s="1007">
        <f t="shared" si="20"/>
        <v>36168.165741372635</v>
      </c>
      <c r="J139" s="992">
        <f>+IFERROR(H139*I139*'Parametros Generales'!$C$6,"")</f>
        <v>1139297220.8532379</v>
      </c>
      <c r="K139" s="979" t="str">
        <f t="shared" si="25"/>
        <v/>
      </c>
      <c r="L139" s="1020" t="s">
        <v>1431</v>
      </c>
      <c r="M139" s="1021">
        <f>+SUM(M116:M138)</f>
        <v>134300</v>
      </c>
      <c r="N139" s="1014">
        <f>+O139/M139/'Parametros Generales'!$C$6</f>
        <v>36828.26560938199</v>
      </c>
      <c r="O139" s="1015">
        <f>+SUM(O116:O138)</f>
        <v>24730180356.700005</v>
      </c>
    </row>
    <row r="140" spans="2:15" s="969" customFormat="1" ht="13.5">
      <c r="B140" s="979"/>
      <c r="C140" s="979"/>
      <c r="D140" s="979"/>
      <c r="E140" s="979"/>
      <c r="F140" s="1040">
        <f t="shared" si="21"/>
        <v>32</v>
      </c>
      <c r="G140" s="989" t="str">
        <f t="shared" si="18"/>
        <v>CALDAS</v>
      </c>
      <c r="H140" s="1006">
        <f t="shared" si="19"/>
        <v>7100</v>
      </c>
      <c r="I140" s="1007">
        <f t="shared" si="20"/>
        <v>35975.448625340578</v>
      </c>
      <c r="J140" s="992">
        <f>+IFERROR(H140*I140*'Parametros Generales'!$C$6,"")</f>
        <v>1277128426.1995907</v>
      </c>
      <c r="K140" s="990"/>
      <c r="L140" s="1024"/>
      <c r="M140" s="1025"/>
    </row>
    <row r="141" spans="2:15" s="969" customFormat="1" ht="13.5">
      <c r="B141" s="979"/>
      <c r="C141" s="979"/>
      <c r="D141" s="979"/>
      <c r="E141" s="979"/>
      <c r="F141" s="1040">
        <f t="shared" si="21"/>
        <v>33</v>
      </c>
      <c r="G141" s="989" t="str">
        <f t="shared" si="18"/>
        <v>BOGOTÁ</v>
      </c>
      <c r="H141" s="1006">
        <f t="shared" si="19"/>
        <v>0</v>
      </c>
      <c r="I141" s="1007">
        <f t="shared" si="20"/>
        <v>1E-10</v>
      </c>
      <c r="J141" s="992">
        <f>+IFERROR(H141*I141*'Parametros Generales'!$C$6,"")</f>
        <v>0</v>
      </c>
      <c r="K141" s="990"/>
      <c r="L141" s="1024"/>
      <c r="M141" s="1025"/>
    </row>
    <row r="142" spans="2:15" s="969" customFormat="1" ht="13.5">
      <c r="B142" s="979"/>
      <c r="C142" s="979"/>
      <c r="D142" s="979"/>
      <c r="E142" s="979"/>
      <c r="F142" s="1040">
        <f t="shared" si="21"/>
        <v>34</v>
      </c>
      <c r="G142" s="989" t="str">
        <f t="shared" si="18"/>
        <v/>
      </c>
      <c r="H142" s="1006" t="str">
        <f t="shared" si="19"/>
        <v/>
      </c>
      <c r="I142" s="1007">
        <f t="shared" si="20"/>
        <v>0</v>
      </c>
      <c r="J142" s="992" t="str">
        <f>+IFERROR(H142*I142*'Parametros Generales'!$C$6,"")</f>
        <v/>
      </c>
      <c r="K142" s="990"/>
      <c r="L142" s="1024"/>
      <c r="M142" s="1025"/>
    </row>
    <row r="143" spans="2:15" s="969" customFormat="1" ht="13.5">
      <c r="B143" s="979"/>
      <c r="C143" s="979"/>
      <c r="D143" s="979"/>
      <c r="E143" s="979"/>
      <c r="F143" s="1040" t="str">
        <f t="shared" si="21"/>
        <v/>
      </c>
      <c r="G143" s="989" t="str">
        <f t="shared" si="18"/>
        <v/>
      </c>
      <c r="H143" s="1006" t="str">
        <f t="shared" si="19"/>
        <v/>
      </c>
      <c r="I143" s="1007">
        <f t="shared" si="20"/>
        <v>0</v>
      </c>
      <c r="J143" s="992" t="str">
        <f>+IFERROR(H143*I143*'Parametros Generales'!$C$6,"")</f>
        <v/>
      </c>
      <c r="K143" s="990"/>
      <c r="L143" s="1024"/>
      <c r="M143" s="1025"/>
    </row>
    <row r="144" spans="2:15" s="969" customFormat="1" ht="13.5" thickBot="1">
      <c r="B144" s="979"/>
      <c r="C144" s="979"/>
      <c r="D144" s="979"/>
      <c r="E144" s="979"/>
      <c r="F144" s="1034" t="str">
        <f t="shared" si="21"/>
        <v/>
      </c>
      <c r="G144" s="993" t="str">
        <f t="shared" si="18"/>
        <v/>
      </c>
      <c r="H144" s="1016" t="str">
        <f t="shared" si="19"/>
        <v/>
      </c>
      <c r="I144" s="1017">
        <f t="shared" si="20"/>
        <v>0</v>
      </c>
      <c r="J144" s="996" t="str">
        <f>+IFERROR(H144*I144*'Parametros Generales'!$C$6,"")</f>
        <v/>
      </c>
      <c r="K144" s="990"/>
      <c r="L144" s="1024"/>
      <c r="M144" s="1025"/>
    </row>
    <row r="145" spans="2:16" s="969" customFormat="1" ht="13.5" thickBot="1">
      <c r="F145" s="980"/>
      <c r="G145" s="1018" t="s">
        <v>1431</v>
      </c>
      <c r="H145" s="1019">
        <f>+SUM(H112:H144)</f>
        <v>173950</v>
      </c>
      <c r="I145" s="1014">
        <f>+J145/H145/'Parametros Generales'!$C$6</f>
        <v>36993.860745406906</v>
      </c>
      <c r="J145" s="1015">
        <f>+SUM(J112:J144)</f>
        <v>32175410383.317657</v>
      </c>
      <c r="K145" s="990"/>
      <c r="L145" s="1024"/>
      <c r="M145" s="1025"/>
    </row>
    <row r="146" spans="2:16" s="969" customFormat="1">
      <c r="J146" s="979" t="str">
        <f>+IFERROR(IF(#REF!+1&gt;34,"",#REF!+1),"")</f>
        <v/>
      </c>
      <c r="K146" s="990"/>
      <c r="L146" s="1024"/>
      <c r="M146" s="1025"/>
    </row>
    <row r="147" spans="2:16" s="969" customFormat="1">
      <c r="H147" s="1042"/>
      <c r="J147" s="1003">
        <f>+E133-J145-J110</f>
        <v>-1.2874603271484375E-5</v>
      </c>
      <c r="K147" s="990"/>
      <c r="L147" s="1024"/>
      <c r="M147" s="1025"/>
      <c r="O147" s="1043">
        <f>+E133-O139-O113-O103</f>
        <v>-6.198883056640625E-6</v>
      </c>
    </row>
    <row r="148" spans="2:16" s="969" customFormat="1">
      <c r="B148" s="568"/>
      <c r="C148" s="568"/>
      <c r="D148" s="568"/>
      <c r="E148" s="568"/>
      <c r="H148" s="1042"/>
      <c r="I148" s="969" t="s">
        <v>2412</v>
      </c>
      <c r="J148" s="1129" t="str">
        <f>+IF((ROUND(J147,0))=0,"Ok","Rev")</f>
        <v>Ok</v>
      </c>
      <c r="K148" s="1033"/>
      <c r="L148" s="1033"/>
      <c r="M148" s="1033"/>
      <c r="N148" s="969" t="s">
        <v>2412</v>
      </c>
      <c r="O148" s="1129" t="str">
        <f>+IF((ROUND(O147,0))=0,"Ok","Rev")</f>
        <v>Ok</v>
      </c>
    </row>
    <row r="149" spans="2:16">
      <c r="H149" s="970"/>
      <c r="J149" s="1044"/>
      <c r="K149" s="969"/>
      <c r="L149" s="969"/>
      <c r="M149" s="969"/>
      <c r="N149" s="969"/>
      <c r="O149" s="969"/>
      <c r="P149" s="969"/>
    </row>
    <row r="150" spans="2:16">
      <c r="H150" s="970"/>
      <c r="J150" s="1044"/>
      <c r="K150" s="969"/>
      <c r="L150" s="969"/>
      <c r="M150" s="969"/>
    </row>
    <row r="151" spans="2:16">
      <c r="H151" s="970"/>
      <c r="J151" s="1044"/>
      <c r="K151" s="969"/>
      <c r="L151" s="969"/>
      <c r="M151" s="969"/>
    </row>
    <row r="152" spans="2:16">
      <c r="H152" s="970"/>
      <c r="J152" s="1044"/>
    </row>
    <row r="153" spans="2:16">
      <c r="H153" s="970"/>
      <c r="J153" s="1044"/>
    </row>
    <row r="154" spans="2:16">
      <c r="H154" s="970"/>
      <c r="J154" s="1044"/>
    </row>
    <row r="155" spans="2:16">
      <c r="H155" s="970"/>
      <c r="J155" s="1044"/>
    </row>
    <row r="156" spans="2:16">
      <c r="H156" s="970"/>
      <c r="J156" s="1044"/>
    </row>
    <row r="157" spans="2:16">
      <c r="H157" s="970"/>
      <c r="J157" s="1044"/>
    </row>
    <row r="158" spans="2:16">
      <c r="H158" s="970"/>
      <c r="J158" s="1044"/>
    </row>
    <row r="159" spans="2:16">
      <c r="H159" s="970"/>
      <c r="J159" s="1044"/>
    </row>
    <row r="160" spans="2:16">
      <c r="H160" s="970"/>
      <c r="J160" s="1044"/>
    </row>
    <row r="161" spans="8:10">
      <c r="H161" s="970"/>
      <c r="J161" s="1044"/>
    </row>
    <row r="162" spans="8:10">
      <c r="H162" s="970"/>
      <c r="J162" s="1044"/>
    </row>
    <row r="163" spans="8:10">
      <c r="H163" s="970"/>
      <c r="J163" s="1044"/>
    </row>
    <row r="164" spans="8:10">
      <c r="H164" s="970"/>
      <c r="J164" s="1044"/>
    </row>
    <row r="165" spans="8:10">
      <c r="H165" s="970"/>
      <c r="J165" s="1044"/>
    </row>
    <row r="166" spans="8:10">
      <c r="H166" s="970"/>
      <c r="J166" s="1044"/>
    </row>
    <row r="167" spans="8:10">
      <c r="H167" s="970"/>
      <c r="J167" s="1044"/>
    </row>
    <row r="168" spans="8:10">
      <c r="H168" s="970"/>
      <c r="J168" s="1044"/>
    </row>
    <row r="169" spans="8:10">
      <c r="H169" s="970"/>
      <c r="J169" s="1044"/>
    </row>
    <row r="170" spans="8:10">
      <c r="H170" s="970"/>
      <c r="J170" s="1044"/>
    </row>
    <row r="171" spans="8:10">
      <c r="H171" s="970"/>
      <c r="J171" s="1044"/>
    </row>
    <row r="172" spans="8:10">
      <c r="H172" s="970"/>
      <c r="J172" s="1044"/>
    </row>
    <row r="173" spans="8:10">
      <c r="H173" s="970"/>
      <c r="J173" s="1044"/>
    </row>
    <row r="174" spans="8:10">
      <c r="H174" s="970"/>
      <c r="J174" s="1044"/>
    </row>
    <row r="175" spans="8:10">
      <c r="H175" s="970"/>
      <c r="J175" s="1044"/>
    </row>
    <row r="176" spans="8:10">
      <c r="H176" s="970"/>
      <c r="J176" s="1044"/>
    </row>
    <row r="177" spans="8:10">
      <c r="H177" s="970"/>
      <c r="J177" s="1044"/>
    </row>
    <row r="178" spans="8:10">
      <c r="H178" s="970" t="str">
        <f t="shared" ref="H178:H179" si="27">+H143</f>
        <v/>
      </c>
    </row>
    <row r="179" spans="8:10">
      <c r="H179" s="970" t="str">
        <f t="shared" si="27"/>
        <v/>
      </c>
    </row>
  </sheetData>
  <sheetProtection password="CC59" sheet="1" objects="1" scenarios="1"/>
  <mergeCells count="3">
    <mergeCell ref="B98:E98"/>
    <mergeCell ref="G98:J98"/>
    <mergeCell ref="L98:O98"/>
  </mergeCells>
  <hyperlinks>
    <hyperlink ref="B1" location="'Hoja índice'!A1" display="Indice"/>
    <hyperlink ref="B43" location="'Hoja índice'!A1" display="Indice"/>
    <hyperlink ref="B97" location="'Hoja índice'!A1" display="Indice"/>
    <hyperlink ref="G97" location="'Hoja índice'!A1" display="Indice"/>
    <hyperlink ref="L97" location="'Hoja índice'!A1" display="Indice"/>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sheetPr codeName="Hoja6">
    <tabColor theme="4"/>
  </sheetPr>
  <dimension ref="A1:Z937"/>
  <sheetViews>
    <sheetView showGridLines="0" zoomScale="85" zoomScaleNormal="85" workbookViewId="0">
      <selection activeCell="B86" sqref="B86"/>
    </sheetView>
  </sheetViews>
  <sheetFormatPr baseColWidth="10" defaultRowHeight="12.75"/>
  <cols>
    <col min="1" max="1" width="2.5703125" style="148" customWidth="1"/>
    <col min="2" max="2" width="37.5703125" style="148" customWidth="1"/>
    <col min="3" max="5" width="14.140625" style="148" customWidth="1"/>
    <col min="6" max="6" width="19.42578125" style="148" customWidth="1"/>
    <col min="7" max="7" width="13.5703125" style="148" customWidth="1"/>
    <col min="8" max="8" width="14.140625" style="148" customWidth="1"/>
    <col min="9" max="12" width="12.7109375" style="148" customWidth="1"/>
    <col min="13" max="13" width="12.42578125" style="148" customWidth="1"/>
    <col min="14" max="17" width="12.7109375" style="148" customWidth="1"/>
    <col min="18" max="18" width="11.42578125" style="148"/>
    <col min="19" max="19" width="16.28515625" style="148" bestFit="1" customWidth="1"/>
    <col min="20" max="20" width="19" style="148" bestFit="1" customWidth="1"/>
    <col min="21" max="22" width="16.28515625" style="148" bestFit="1" customWidth="1"/>
    <col min="23" max="23" width="11.85546875" style="148" bestFit="1" customWidth="1"/>
    <col min="24" max="26" width="15.5703125" style="148" bestFit="1" customWidth="1"/>
    <col min="27" max="256" width="11.42578125" style="148"/>
    <col min="257" max="257" width="2.5703125" style="148" customWidth="1"/>
    <col min="258" max="258" width="37.5703125" style="148" customWidth="1"/>
    <col min="259" max="261" width="14.140625" style="148" customWidth="1"/>
    <col min="262" max="262" width="19.42578125" style="148" customWidth="1"/>
    <col min="263" max="263" width="13.5703125" style="148" customWidth="1"/>
    <col min="264" max="264" width="14.140625" style="148" customWidth="1"/>
    <col min="265" max="268" width="12.7109375" style="148" customWidth="1"/>
    <col min="269" max="269" width="12.42578125" style="148" customWidth="1"/>
    <col min="270" max="273" width="12.7109375" style="148" customWidth="1"/>
    <col min="274" max="274" width="11.42578125" style="148"/>
    <col min="275" max="275" width="16.28515625" style="148" bestFit="1" customWidth="1"/>
    <col min="276" max="276" width="19" style="148" bestFit="1" customWidth="1"/>
    <col min="277" max="278" width="16.28515625" style="148" bestFit="1" customWidth="1"/>
    <col min="279" max="279" width="11.85546875" style="148" bestFit="1" customWidth="1"/>
    <col min="280" max="282" width="15.5703125" style="148" bestFit="1" customWidth="1"/>
    <col min="283" max="512" width="11.42578125" style="148"/>
    <col min="513" max="513" width="2.5703125" style="148" customWidth="1"/>
    <col min="514" max="514" width="37.5703125" style="148" customWidth="1"/>
    <col min="515" max="517" width="14.140625" style="148" customWidth="1"/>
    <col min="518" max="518" width="19.42578125" style="148" customWidth="1"/>
    <col min="519" max="519" width="13.5703125" style="148" customWidth="1"/>
    <col min="520" max="520" width="14.140625" style="148" customWidth="1"/>
    <col min="521" max="524" width="12.7109375" style="148" customWidth="1"/>
    <col min="525" max="525" width="12.42578125" style="148" customWidth="1"/>
    <col min="526" max="529" width="12.7109375" style="148" customWidth="1"/>
    <col min="530" max="530" width="11.42578125" style="148"/>
    <col min="531" max="531" width="16.28515625" style="148" bestFit="1" customWidth="1"/>
    <col min="532" max="532" width="19" style="148" bestFit="1" customWidth="1"/>
    <col min="533" max="534" width="16.28515625" style="148" bestFit="1" customWidth="1"/>
    <col min="535" max="535" width="11.85546875" style="148" bestFit="1" customWidth="1"/>
    <col min="536" max="538" width="15.5703125" style="148" bestFit="1" customWidth="1"/>
    <col min="539" max="768" width="11.42578125" style="148"/>
    <col min="769" max="769" width="2.5703125" style="148" customWidth="1"/>
    <col min="770" max="770" width="37.5703125" style="148" customWidth="1"/>
    <col min="771" max="773" width="14.140625" style="148" customWidth="1"/>
    <col min="774" max="774" width="19.42578125" style="148" customWidth="1"/>
    <col min="775" max="775" width="13.5703125" style="148" customWidth="1"/>
    <col min="776" max="776" width="14.140625" style="148" customWidth="1"/>
    <col min="777" max="780" width="12.7109375" style="148" customWidth="1"/>
    <col min="781" max="781" width="12.42578125" style="148" customWidth="1"/>
    <col min="782" max="785" width="12.7109375" style="148" customWidth="1"/>
    <col min="786" max="786" width="11.42578125" style="148"/>
    <col min="787" max="787" width="16.28515625" style="148" bestFit="1" customWidth="1"/>
    <col min="788" max="788" width="19" style="148" bestFit="1" customWidth="1"/>
    <col min="789" max="790" width="16.28515625" style="148" bestFit="1" customWidth="1"/>
    <col min="791" max="791" width="11.85546875" style="148" bestFit="1" customWidth="1"/>
    <col min="792" max="794" width="15.5703125" style="148" bestFit="1" customWidth="1"/>
    <col min="795" max="1024" width="11.42578125" style="148"/>
    <col min="1025" max="1025" width="2.5703125" style="148" customWidth="1"/>
    <col min="1026" max="1026" width="37.5703125" style="148" customWidth="1"/>
    <col min="1027" max="1029" width="14.140625" style="148" customWidth="1"/>
    <col min="1030" max="1030" width="19.42578125" style="148" customWidth="1"/>
    <col min="1031" max="1031" width="13.5703125" style="148" customWidth="1"/>
    <col min="1032" max="1032" width="14.140625" style="148" customWidth="1"/>
    <col min="1033" max="1036" width="12.7109375" style="148" customWidth="1"/>
    <col min="1037" max="1037" width="12.42578125" style="148" customWidth="1"/>
    <col min="1038" max="1041" width="12.7109375" style="148" customWidth="1"/>
    <col min="1042" max="1042" width="11.42578125" style="148"/>
    <col min="1043" max="1043" width="16.28515625" style="148" bestFit="1" customWidth="1"/>
    <col min="1044" max="1044" width="19" style="148" bestFit="1" customWidth="1"/>
    <col min="1045" max="1046" width="16.28515625" style="148" bestFit="1" customWidth="1"/>
    <col min="1047" max="1047" width="11.85546875" style="148" bestFit="1" customWidth="1"/>
    <col min="1048" max="1050" width="15.5703125" style="148" bestFit="1" customWidth="1"/>
    <col min="1051" max="1280" width="11.42578125" style="148"/>
    <col min="1281" max="1281" width="2.5703125" style="148" customWidth="1"/>
    <col min="1282" max="1282" width="37.5703125" style="148" customWidth="1"/>
    <col min="1283" max="1285" width="14.140625" style="148" customWidth="1"/>
    <col min="1286" max="1286" width="19.42578125" style="148" customWidth="1"/>
    <col min="1287" max="1287" width="13.5703125" style="148" customWidth="1"/>
    <col min="1288" max="1288" width="14.140625" style="148" customWidth="1"/>
    <col min="1289" max="1292" width="12.7109375" style="148" customWidth="1"/>
    <col min="1293" max="1293" width="12.42578125" style="148" customWidth="1"/>
    <col min="1294" max="1297" width="12.7109375" style="148" customWidth="1"/>
    <col min="1298" max="1298" width="11.42578125" style="148"/>
    <col min="1299" max="1299" width="16.28515625" style="148" bestFit="1" customWidth="1"/>
    <col min="1300" max="1300" width="19" style="148" bestFit="1" customWidth="1"/>
    <col min="1301" max="1302" width="16.28515625" style="148" bestFit="1" customWidth="1"/>
    <col min="1303" max="1303" width="11.85546875" style="148" bestFit="1" customWidth="1"/>
    <col min="1304" max="1306" width="15.5703125" style="148" bestFit="1" customWidth="1"/>
    <col min="1307" max="1536" width="11.42578125" style="148"/>
    <col min="1537" max="1537" width="2.5703125" style="148" customWidth="1"/>
    <col min="1538" max="1538" width="37.5703125" style="148" customWidth="1"/>
    <col min="1539" max="1541" width="14.140625" style="148" customWidth="1"/>
    <col min="1542" max="1542" width="19.42578125" style="148" customWidth="1"/>
    <col min="1543" max="1543" width="13.5703125" style="148" customWidth="1"/>
    <col min="1544" max="1544" width="14.140625" style="148" customWidth="1"/>
    <col min="1545" max="1548" width="12.7109375" style="148" customWidth="1"/>
    <col min="1549" max="1549" width="12.42578125" style="148" customWidth="1"/>
    <col min="1550" max="1553" width="12.7109375" style="148" customWidth="1"/>
    <col min="1554" max="1554" width="11.42578125" style="148"/>
    <col min="1555" max="1555" width="16.28515625" style="148" bestFit="1" customWidth="1"/>
    <col min="1556" max="1556" width="19" style="148" bestFit="1" customWidth="1"/>
    <col min="1557" max="1558" width="16.28515625" style="148" bestFit="1" customWidth="1"/>
    <col min="1559" max="1559" width="11.85546875" style="148" bestFit="1" customWidth="1"/>
    <col min="1560" max="1562" width="15.5703125" style="148" bestFit="1" customWidth="1"/>
    <col min="1563" max="1792" width="11.42578125" style="148"/>
    <col min="1793" max="1793" width="2.5703125" style="148" customWidth="1"/>
    <col min="1794" max="1794" width="37.5703125" style="148" customWidth="1"/>
    <col min="1795" max="1797" width="14.140625" style="148" customWidth="1"/>
    <col min="1798" max="1798" width="19.42578125" style="148" customWidth="1"/>
    <col min="1799" max="1799" width="13.5703125" style="148" customWidth="1"/>
    <col min="1800" max="1800" width="14.140625" style="148" customWidth="1"/>
    <col min="1801" max="1804" width="12.7109375" style="148" customWidth="1"/>
    <col min="1805" max="1805" width="12.42578125" style="148" customWidth="1"/>
    <col min="1806" max="1809" width="12.7109375" style="148" customWidth="1"/>
    <col min="1810" max="1810" width="11.42578125" style="148"/>
    <col min="1811" max="1811" width="16.28515625" style="148" bestFit="1" customWidth="1"/>
    <col min="1812" max="1812" width="19" style="148" bestFit="1" customWidth="1"/>
    <col min="1813" max="1814" width="16.28515625" style="148" bestFit="1" customWidth="1"/>
    <col min="1815" max="1815" width="11.85546875" style="148" bestFit="1" customWidth="1"/>
    <col min="1816" max="1818" width="15.5703125" style="148" bestFit="1" customWidth="1"/>
    <col min="1819" max="2048" width="11.42578125" style="148"/>
    <col min="2049" max="2049" width="2.5703125" style="148" customWidth="1"/>
    <col min="2050" max="2050" width="37.5703125" style="148" customWidth="1"/>
    <col min="2051" max="2053" width="14.140625" style="148" customWidth="1"/>
    <col min="2054" max="2054" width="19.42578125" style="148" customWidth="1"/>
    <col min="2055" max="2055" width="13.5703125" style="148" customWidth="1"/>
    <col min="2056" max="2056" width="14.140625" style="148" customWidth="1"/>
    <col min="2057" max="2060" width="12.7109375" style="148" customWidth="1"/>
    <col min="2061" max="2061" width="12.42578125" style="148" customWidth="1"/>
    <col min="2062" max="2065" width="12.7109375" style="148" customWidth="1"/>
    <col min="2066" max="2066" width="11.42578125" style="148"/>
    <col min="2067" max="2067" width="16.28515625" style="148" bestFit="1" customWidth="1"/>
    <col min="2068" max="2068" width="19" style="148" bestFit="1" customWidth="1"/>
    <col min="2069" max="2070" width="16.28515625" style="148" bestFit="1" customWidth="1"/>
    <col min="2071" max="2071" width="11.85546875" style="148" bestFit="1" customWidth="1"/>
    <col min="2072" max="2074" width="15.5703125" style="148" bestFit="1" customWidth="1"/>
    <col min="2075" max="2304" width="11.42578125" style="148"/>
    <col min="2305" max="2305" width="2.5703125" style="148" customWidth="1"/>
    <col min="2306" max="2306" width="37.5703125" style="148" customWidth="1"/>
    <col min="2307" max="2309" width="14.140625" style="148" customWidth="1"/>
    <col min="2310" max="2310" width="19.42578125" style="148" customWidth="1"/>
    <col min="2311" max="2311" width="13.5703125" style="148" customWidth="1"/>
    <col min="2312" max="2312" width="14.140625" style="148" customWidth="1"/>
    <col min="2313" max="2316" width="12.7109375" style="148" customWidth="1"/>
    <col min="2317" max="2317" width="12.42578125" style="148" customWidth="1"/>
    <col min="2318" max="2321" width="12.7109375" style="148" customWidth="1"/>
    <col min="2322" max="2322" width="11.42578125" style="148"/>
    <col min="2323" max="2323" width="16.28515625" style="148" bestFit="1" customWidth="1"/>
    <col min="2324" max="2324" width="19" style="148" bestFit="1" customWidth="1"/>
    <col min="2325" max="2326" width="16.28515625" style="148" bestFit="1" customWidth="1"/>
    <col min="2327" max="2327" width="11.85546875" style="148" bestFit="1" customWidth="1"/>
    <col min="2328" max="2330" width="15.5703125" style="148" bestFit="1" customWidth="1"/>
    <col min="2331" max="2560" width="11.42578125" style="148"/>
    <col min="2561" max="2561" width="2.5703125" style="148" customWidth="1"/>
    <col min="2562" max="2562" width="37.5703125" style="148" customWidth="1"/>
    <col min="2563" max="2565" width="14.140625" style="148" customWidth="1"/>
    <col min="2566" max="2566" width="19.42578125" style="148" customWidth="1"/>
    <col min="2567" max="2567" width="13.5703125" style="148" customWidth="1"/>
    <col min="2568" max="2568" width="14.140625" style="148" customWidth="1"/>
    <col min="2569" max="2572" width="12.7109375" style="148" customWidth="1"/>
    <col min="2573" max="2573" width="12.42578125" style="148" customWidth="1"/>
    <col min="2574" max="2577" width="12.7109375" style="148" customWidth="1"/>
    <col min="2578" max="2578" width="11.42578125" style="148"/>
    <col min="2579" max="2579" width="16.28515625" style="148" bestFit="1" customWidth="1"/>
    <col min="2580" max="2580" width="19" style="148" bestFit="1" customWidth="1"/>
    <col min="2581" max="2582" width="16.28515625" style="148" bestFit="1" customWidth="1"/>
    <col min="2583" max="2583" width="11.85546875" style="148" bestFit="1" customWidth="1"/>
    <col min="2584" max="2586" width="15.5703125" style="148" bestFit="1" customWidth="1"/>
    <col min="2587" max="2816" width="11.42578125" style="148"/>
    <col min="2817" max="2817" width="2.5703125" style="148" customWidth="1"/>
    <col min="2818" max="2818" width="37.5703125" style="148" customWidth="1"/>
    <col min="2819" max="2821" width="14.140625" style="148" customWidth="1"/>
    <col min="2822" max="2822" width="19.42578125" style="148" customWidth="1"/>
    <col min="2823" max="2823" width="13.5703125" style="148" customWidth="1"/>
    <col min="2824" max="2824" width="14.140625" style="148" customWidth="1"/>
    <col min="2825" max="2828" width="12.7109375" style="148" customWidth="1"/>
    <col min="2829" max="2829" width="12.42578125" style="148" customWidth="1"/>
    <col min="2830" max="2833" width="12.7109375" style="148" customWidth="1"/>
    <col min="2834" max="2834" width="11.42578125" style="148"/>
    <col min="2835" max="2835" width="16.28515625" style="148" bestFit="1" customWidth="1"/>
    <col min="2836" max="2836" width="19" style="148" bestFit="1" customWidth="1"/>
    <col min="2837" max="2838" width="16.28515625" style="148" bestFit="1" customWidth="1"/>
    <col min="2839" max="2839" width="11.85546875" style="148" bestFit="1" customWidth="1"/>
    <col min="2840" max="2842" width="15.5703125" style="148" bestFit="1" customWidth="1"/>
    <col min="2843" max="3072" width="11.42578125" style="148"/>
    <col min="3073" max="3073" width="2.5703125" style="148" customWidth="1"/>
    <col min="3074" max="3074" width="37.5703125" style="148" customWidth="1"/>
    <col min="3075" max="3077" width="14.140625" style="148" customWidth="1"/>
    <col min="3078" max="3078" width="19.42578125" style="148" customWidth="1"/>
    <col min="3079" max="3079" width="13.5703125" style="148" customWidth="1"/>
    <col min="3080" max="3080" width="14.140625" style="148" customWidth="1"/>
    <col min="3081" max="3084" width="12.7109375" style="148" customWidth="1"/>
    <col min="3085" max="3085" width="12.42578125" style="148" customWidth="1"/>
    <col min="3086" max="3089" width="12.7109375" style="148" customWidth="1"/>
    <col min="3090" max="3090" width="11.42578125" style="148"/>
    <col min="3091" max="3091" width="16.28515625" style="148" bestFit="1" customWidth="1"/>
    <col min="3092" max="3092" width="19" style="148" bestFit="1" customWidth="1"/>
    <col min="3093" max="3094" width="16.28515625" style="148" bestFit="1" customWidth="1"/>
    <col min="3095" max="3095" width="11.85546875" style="148" bestFit="1" customWidth="1"/>
    <col min="3096" max="3098" width="15.5703125" style="148" bestFit="1" customWidth="1"/>
    <col min="3099" max="3328" width="11.42578125" style="148"/>
    <col min="3329" max="3329" width="2.5703125" style="148" customWidth="1"/>
    <col min="3330" max="3330" width="37.5703125" style="148" customWidth="1"/>
    <col min="3331" max="3333" width="14.140625" style="148" customWidth="1"/>
    <col min="3334" max="3334" width="19.42578125" style="148" customWidth="1"/>
    <col min="3335" max="3335" width="13.5703125" style="148" customWidth="1"/>
    <col min="3336" max="3336" width="14.140625" style="148" customWidth="1"/>
    <col min="3337" max="3340" width="12.7109375" style="148" customWidth="1"/>
    <col min="3341" max="3341" width="12.42578125" style="148" customWidth="1"/>
    <col min="3342" max="3345" width="12.7109375" style="148" customWidth="1"/>
    <col min="3346" max="3346" width="11.42578125" style="148"/>
    <col min="3347" max="3347" width="16.28515625" style="148" bestFit="1" customWidth="1"/>
    <col min="3348" max="3348" width="19" style="148" bestFit="1" customWidth="1"/>
    <col min="3349" max="3350" width="16.28515625" style="148" bestFit="1" customWidth="1"/>
    <col min="3351" max="3351" width="11.85546875" style="148" bestFit="1" customWidth="1"/>
    <col min="3352" max="3354" width="15.5703125" style="148" bestFit="1" customWidth="1"/>
    <col min="3355" max="3584" width="11.42578125" style="148"/>
    <col min="3585" max="3585" width="2.5703125" style="148" customWidth="1"/>
    <col min="3586" max="3586" width="37.5703125" style="148" customWidth="1"/>
    <col min="3587" max="3589" width="14.140625" style="148" customWidth="1"/>
    <col min="3590" max="3590" width="19.42578125" style="148" customWidth="1"/>
    <col min="3591" max="3591" width="13.5703125" style="148" customWidth="1"/>
    <col min="3592" max="3592" width="14.140625" style="148" customWidth="1"/>
    <col min="3593" max="3596" width="12.7109375" style="148" customWidth="1"/>
    <col min="3597" max="3597" width="12.42578125" style="148" customWidth="1"/>
    <col min="3598" max="3601" width="12.7109375" style="148" customWidth="1"/>
    <col min="3602" max="3602" width="11.42578125" style="148"/>
    <col min="3603" max="3603" width="16.28515625" style="148" bestFit="1" customWidth="1"/>
    <col min="3604" max="3604" width="19" style="148" bestFit="1" customWidth="1"/>
    <col min="3605" max="3606" width="16.28515625" style="148" bestFit="1" customWidth="1"/>
    <col min="3607" max="3607" width="11.85546875" style="148" bestFit="1" customWidth="1"/>
    <col min="3608" max="3610" width="15.5703125" style="148" bestFit="1" customWidth="1"/>
    <col min="3611" max="3840" width="11.42578125" style="148"/>
    <col min="3841" max="3841" width="2.5703125" style="148" customWidth="1"/>
    <col min="3842" max="3842" width="37.5703125" style="148" customWidth="1"/>
    <col min="3843" max="3845" width="14.140625" style="148" customWidth="1"/>
    <col min="3846" max="3846" width="19.42578125" style="148" customWidth="1"/>
    <col min="3847" max="3847" width="13.5703125" style="148" customWidth="1"/>
    <col min="3848" max="3848" width="14.140625" style="148" customWidth="1"/>
    <col min="3849" max="3852" width="12.7109375" style="148" customWidth="1"/>
    <col min="3853" max="3853" width="12.42578125" style="148" customWidth="1"/>
    <col min="3854" max="3857" width="12.7109375" style="148" customWidth="1"/>
    <col min="3858" max="3858" width="11.42578125" style="148"/>
    <col min="3859" max="3859" width="16.28515625" style="148" bestFit="1" customWidth="1"/>
    <col min="3860" max="3860" width="19" style="148" bestFit="1" customWidth="1"/>
    <col min="3861" max="3862" width="16.28515625" style="148" bestFit="1" customWidth="1"/>
    <col min="3863" max="3863" width="11.85546875" style="148" bestFit="1" customWidth="1"/>
    <col min="3864" max="3866" width="15.5703125" style="148" bestFit="1" customWidth="1"/>
    <col min="3867" max="4096" width="11.42578125" style="148"/>
    <col min="4097" max="4097" width="2.5703125" style="148" customWidth="1"/>
    <col min="4098" max="4098" width="37.5703125" style="148" customWidth="1"/>
    <col min="4099" max="4101" width="14.140625" style="148" customWidth="1"/>
    <col min="4102" max="4102" width="19.42578125" style="148" customWidth="1"/>
    <col min="4103" max="4103" width="13.5703125" style="148" customWidth="1"/>
    <col min="4104" max="4104" width="14.140625" style="148" customWidth="1"/>
    <col min="4105" max="4108" width="12.7109375" style="148" customWidth="1"/>
    <col min="4109" max="4109" width="12.42578125" style="148" customWidth="1"/>
    <col min="4110" max="4113" width="12.7109375" style="148" customWidth="1"/>
    <col min="4114" max="4114" width="11.42578125" style="148"/>
    <col min="4115" max="4115" width="16.28515625" style="148" bestFit="1" customWidth="1"/>
    <col min="4116" max="4116" width="19" style="148" bestFit="1" customWidth="1"/>
    <col min="4117" max="4118" width="16.28515625" style="148" bestFit="1" customWidth="1"/>
    <col min="4119" max="4119" width="11.85546875" style="148" bestFit="1" customWidth="1"/>
    <col min="4120" max="4122" width="15.5703125" style="148" bestFit="1" customWidth="1"/>
    <col min="4123" max="4352" width="11.42578125" style="148"/>
    <col min="4353" max="4353" width="2.5703125" style="148" customWidth="1"/>
    <col min="4354" max="4354" width="37.5703125" style="148" customWidth="1"/>
    <col min="4355" max="4357" width="14.140625" style="148" customWidth="1"/>
    <col min="4358" max="4358" width="19.42578125" style="148" customWidth="1"/>
    <col min="4359" max="4359" width="13.5703125" style="148" customWidth="1"/>
    <col min="4360" max="4360" width="14.140625" style="148" customWidth="1"/>
    <col min="4361" max="4364" width="12.7109375" style="148" customWidth="1"/>
    <col min="4365" max="4365" width="12.42578125" style="148" customWidth="1"/>
    <col min="4366" max="4369" width="12.7109375" style="148" customWidth="1"/>
    <col min="4370" max="4370" width="11.42578125" style="148"/>
    <col min="4371" max="4371" width="16.28515625" style="148" bestFit="1" customWidth="1"/>
    <col min="4372" max="4372" width="19" style="148" bestFit="1" customWidth="1"/>
    <col min="4373" max="4374" width="16.28515625" style="148" bestFit="1" customWidth="1"/>
    <col min="4375" max="4375" width="11.85546875" style="148" bestFit="1" customWidth="1"/>
    <col min="4376" max="4378" width="15.5703125" style="148" bestFit="1" customWidth="1"/>
    <col min="4379" max="4608" width="11.42578125" style="148"/>
    <col min="4609" max="4609" width="2.5703125" style="148" customWidth="1"/>
    <col min="4610" max="4610" width="37.5703125" style="148" customWidth="1"/>
    <col min="4611" max="4613" width="14.140625" style="148" customWidth="1"/>
    <col min="4614" max="4614" width="19.42578125" style="148" customWidth="1"/>
    <col min="4615" max="4615" width="13.5703125" style="148" customWidth="1"/>
    <col min="4616" max="4616" width="14.140625" style="148" customWidth="1"/>
    <col min="4617" max="4620" width="12.7109375" style="148" customWidth="1"/>
    <col min="4621" max="4621" width="12.42578125" style="148" customWidth="1"/>
    <col min="4622" max="4625" width="12.7109375" style="148" customWidth="1"/>
    <col min="4626" max="4626" width="11.42578125" style="148"/>
    <col min="4627" max="4627" width="16.28515625" style="148" bestFit="1" customWidth="1"/>
    <col min="4628" max="4628" width="19" style="148" bestFit="1" customWidth="1"/>
    <col min="4629" max="4630" width="16.28515625" style="148" bestFit="1" customWidth="1"/>
    <col min="4631" max="4631" width="11.85546875" style="148" bestFit="1" customWidth="1"/>
    <col min="4632" max="4634" width="15.5703125" style="148" bestFit="1" customWidth="1"/>
    <col min="4635" max="4864" width="11.42578125" style="148"/>
    <col min="4865" max="4865" width="2.5703125" style="148" customWidth="1"/>
    <col min="4866" max="4866" width="37.5703125" style="148" customWidth="1"/>
    <col min="4867" max="4869" width="14.140625" style="148" customWidth="1"/>
    <col min="4870" max="4870" width="19.42578125" style="148" customWidth="1"/>
    <col min="4871" max="4871" width="13.5703125" style="148" customWidth="1"/>
    <col min="4872" max="4872" width="14.140625" style="148" customWidth="1"/>
    <col min="4873" max="4876" width="12.7109375" style="148" customWidth="1"/>
    <col min="4877" max="4877" width="12.42578125" style="148" customWidth="1"/>
    <col min="4878" max="4881" width="12.7109375" style="148" customWidth="1"/>
    <col min="4882" max="4882" width="11.42578125" style="148"/>
    <col min="4883" max="4883" width="16.28515625" style="148" bestFit="1" customWidth="1"/>
    <col min="4884" max="4884" width="19" style="148" bestFit="1" customWidth="1"/>
    <col min="4885" max="4886" width="16.28515625" style="148" bestFit="1" customWidth="1"/>
    <col min="4887" max="4887" width="11.85546875" style="148" bestFit="1" customWidth="1"/>
    <col min="4888" max="4890" width="15.5703125" style="148" bestFit="1" customWidth="1"/>
    <col min="4891" max="5120" width="11.42578125" style="148"/>
    <col min="5121" max="5121" width="2.5703125" style="148" customWidth="1"/>
    <col min="5122" max="5122" width="37.5703125" style="148" customWidth="1"/>
    <col min="5123" max="5125" width="14.140625" style="148" customWidth="1"/>
    <col min="5126" max="5126" width="19.42578125" style="148" customWidth="1"/>
    <col min="5127" max="5127" width="13.5703125" style="148" customWidth="1"/>
    <col min="5128" max="5128" width="14.140625" style="148" customWidth="1"/>
    <col min="5129" max="5132" width="12.7109375" style="148" customWidth="1"/>
    <col min="5133" max="5133" width="12.42578125" style="148" customWidth="1"/>
    <col min="5134" max="5137" width="12.7109375" style="148" customWidth="1"/>
    <col min="5138" max="5138" width="11.42578125" style="148"/>
    <col min="5139" max="5139" width="16.28515625" style="148" bestFit="1" customWidth="1"/>
    <col min="5140" max="5140" width="19" style="148" bestFit="1" customWidth="1"/>
    <col min="5141" max="5142" width="16.28515625" style="148" bestFit="1" customWidth="1"/>
    <col min="5143" max="5143" width="11.85546875" style="148" bestFit="1" customWidth="1"/>
    <col min="5144" max="5146" width="15.5703125" style="148" bestFit="1" customWidth="1"/>
    <col min="5147" max="5376" width="11.42578125" style="148"/>
    <col min="5377" max="5377" width="2.5703125" style="148" customWidth="1"/>
    <col min="5378" max="5378" width="37.5703125" style="148" customWidth="1"/>
    <col min="5379" max="5381" width="14.140625" style="148" customWidth="1"/>
    <col min="5382" max="5382" width="19.42578125" style="148" customWidth="1"/>
    <col min="5383" max="5383" width="13.5703125" style="148" customWidth="1"/>
    <col min="5384" max="5384" width="14.140625" style="148" customWidth="1"/>
    <col min="5385" max="5388" width="12.7109375" style="148" customWidth="1"/>
    <col min="5389" max="5389" width="12.42578125" style="148" customWidth="1"/>
    <col min="5390" max="5393" width="12.7109375" style="148" customWidth="1"/>
    <col min="5394" max="5394" width="11.42578125" style="148"/>
    <col min="5395" max="5395" width="16.28515625" style="148" bestFit="1" customWidth="1"/>
    <col min="5396" max="5396" width="19" style="148" bestFit="1" customWidth="1"/>
    <col min="5397" max="5398" width="16.28515625" style="148" bestFit="1" customWidth="1"/>
    <col min="5399" max="5399" width="11.85546875" style="148" bestFit="1" customWidth="1"/>
    <col min="5400" max="5402" width="15.5703125" style="148" bestFit="1" customWidth="1"/>
    <col min="5403" max="5632" width="11.42578125" style="148"/>
    <col min="5633" max="5633" width="2.5703125" style="148" customWidth="1"/>
    <col min="5634" max="5634" width="37.5703125" style="148" customWidth="1"/>
    <col min="5635" max="5637" width="14.140625" style="148" customWidth="1"/>
    <col min="5638" max="5638" width="19.42578125" style="148" customWidth="1"/>
    <col min="5639" max="5639" width="13.5703125" style="148" customWidth="1"/>
    <col min="5640" max="5640" width="14.140625" style="148" customWidth="1"/>
    <col min="5641" max="5644" width="12.7109375" style="148" customWidth="1"/>
    <col min="5645" max="5645" width="12.42578125" style="148" customWidth="1"/>
    <col min="5646" max="5649" width="12.7109375" style="148" customWidth="1"/>
    <col min="5650" max="5650" width="11.42578125" style="148"/>
    <col min="5651" max="5651" width="16.28515625" style="148" bestFit="1" customWidth="1"/>
    <col min="5652" max="5652" width="19" style="148" bestFit="1" customWidth="1"/>
    <col min="5653" max="5654" width="16.28515625" style="148" bestFit="1" customWidth="1"/>
    <col min="5655" max="5655" width="11.85546875" style="148" bestFit="1" customWidth="1"/>
    <col min="5656" max="5658" width="15.5703125" style="148" bestFit="1" customWidth="1"/>
    <col min="5659" max="5888" width="11.42578125" style="148"/>
    <col min="5889" max="5889" width="2.5703125" style="148" customWidth="1"/>
    <col min="5890" max="5890" width="37.5703125" style="148" customWidth="1"/>
    <col min="5891" max="5893" width="14.140625" style="148" customWidth="1"/>
    <col min="5894" max="5894" width="19.42578125" style="148" customWidth="1"/>
    <col min="5895" max="5895" width="13.5703125" style="148" customWidth="1"/>
    <col min="5896" max="5896" width="14.140625" style="148" customWidth="1"/>
    <col min="5897" max="5900" width="12.7109375" style="148" customWidth="1"/>
    <col min="5901" max="5901" width="12.42578125" style="148" customWidth="1"/>
    <col min="5902" max="5905" width="12.7109375" style="148" customWidth="1"/>
    <col min="5906" max="5906" width="11.42578125" style="148"/>
    <col min="5907" max="5907" width="16.28515625" style="148" bestFit="1" customWidth="1"/>
    <col min="5908" max="5908" width="19" style="148" bestFit="1" customWidth="1"/>
    <col min="5909" max="5910" width="16.28515625" style="148" bestFit="1" customWidth="1"/>
    <col min="5911" max="5911" width="11.85546875" style="148" bestFit="1" customWidth="1"/>
    <col min="5912" max="5914" width="15.5703125" style="148" bestFit="1" customWidth="1"/>
    <col min="5915" max="6144" width="11.42578125" style="148"/>
    <col min="6145" max="6145" width="2.5703125" style="148" customWidth="1"/>
    <col min="6146" max="6146" width="37.5703125" style="148" customWidth="1"/>
    <col min="6147" max="6149" width="14.140625" style="148" customWidth="1"/>
    <col min="6150" max="6150" width="19.42578125" style="148" customWidth="1"/>
    <col min="6151" max="6151" width="13.5703125" style="148" customWidth="1"/>
    <col min="6152" max="6152" width="14.140625" style="148" customWidth="1"/>
    <col min="6153" max="6156" width="12.7109375" style="148" customWidth="1"/>
    <col min="6157" max="6157" width="12.42578125" style="148" customWidth="1"/>
    <col min="6158" max="6161" width="12.7109375" style="148" customWidth="1"/>
    <col min="6162" max="6162" width="11.42578125" style="148"/>
    <col min="6163" max="6163" width="16.28515625" style="148" bestFit="1" customWidth="1"/>
    <col min="6164" max="6164" width="19" style="148" bestFit="1" customWidth="1"/>
    <col min="6165" max="6166" width="16.28515625" style="148" bestFit="1" customWidth="1"/>
    <col min="6167" max="6167" width="11.85546875" style="148" bestFit="1" customWidth="1"/>
    <col min="6168" max="6170" width="15.5703125" style="148" bestFit="1" customWidth="1"/>
    <col min="6171" max="6400" width="11.42578125" style="148"/>
    <col min="6401" max="6401" width="2.5703125" style="148" customWidth="1"/>
    <col min="6402" max="6402" width="37.5703125" style="148" customWidth="1"/>
    <col min="6403" max="6405" width="14.140625" style="148" customWidth="1"/>
    <col min="6406" max="6406" width="19.42578125" style="148" customWidth="1"/>
    <col min="6407" max="6407" width="13.5703125" style="148" customWidth="1"/>
    <col min="6408" max="6408" width="14.140625" style="148" customWidth="1"/>
    <col min="6409" max="6412" width="12.7109375" style="148" customWidth="1"/>
    <col min="6413" max="6413" width="12.42578125" style="148" customWidth="1"/>
    <col min="6414" max="6417" width="12.7109375" style="148" customWidth="1"/>
    <col min="6418" max="6418" width="11.42578125" style="148"/>
    <col min="6419" max="6419" width="16.28515625" style="148" bestFit="1" customWidth="1"/>
    <col min="6420" max="6420" width="19" style="148" bestFit="1" customWidth="1"/>
    <col min="6421" max="6422" width="16.28515625" style="148" bestFit="1" customWidth="1"/>
    <col min="6423" max="6423" width="11.85546875" style="148" bestFit="1" customWidth="1"/>
    <col min="6424" max="6426" width="15.5703125" style="148" bestFit="1" customWidth="1"/>
    <col min="6427" max="6656" width="11.42578125" style="148"/>
    <col min="6657" max="6657" width="2.5703125" style="148" customWidth="1"/>
    <col min="6658" max="6658" width="37.5703125" style="148" customWidth="1"/>
    <col min="6659" max="6661" width="14.140625" style="148" customWidth="1"/>
    <col min="6662" max="6662" width="19.42578125" style="148" customWidth="1"/>
    <col min="6663" max="6663" width="13.5703125" style="148" customWidth="1"/>
    <col min="6664" max="6664" width="14.140625" style="148" customWidth="1"/>
    <col min="6665" max="6668" width="12.7109375" style="148" customWidth="1"/>
    <col min="6669" max="6669" width="12.42578125" style="148" customWidth="1"/>
    <col min="6670" max="6673" width="12.7109375" style="148" customWidth="1"/>
    <col min="6674" max="6674" width="11.42578125" style="148"/>
    <col min="6675" max="6675" width="16.28515625" style="148" bestFit="1" customWidth="1"/>
    <col min="6676" max="6676" width="19" style="148" bestFit="1" customWidth="1"/>
    <col min="6677" max="6678" width="16.28515625" style="148" bestFit="1" customWidth="1"/>
    <col min="6679" max="6679" width="11.85546875" style="148" bestFit="1" customWidth="1"/>
    <col min="6680" max="6682" width="15.5703125" style="148" bestFit="1" customWidth="1"/>
    <col min="6683" max="6912" width="11.42578125" style="148"/>
    <col min="6913" max="6913" width="2.5703125" style="148" customWidth="1"/>
    <col min="6914" max="6914" width="37.5703125" style="148" customWidth="1"/>
    <col min="6915" max="6917" width="14.140625" style="148" customWidth="1"/>
    <col min="6918" max="6918" width="19.42578125" style="148" customWidth="1"/>
    <col min="6919" max="6919" width="13.5703125" style="148" customWidth="1"/>
    <col min="6920" max="6920" width="14.140625" style="148" customWidth="1"/>
    <col min="6921" max="6924" width="12.7109375" style="148" customWidth="1"/>
    <col min="6925" max="6925" width="12.42578125" style="148" customWidth="1"/>
    <col min="6926" max="6929" width="12.7109375" style="148" customWidth="1"/>
    <col min="6930" max="6930" width="11.42578125" style="148"/>
    <col min="6931" max="6931" width="16.28515625" style="148" bestFit="1" customWidth="1"/>
    <col min="6932" max="6932" width="19" style="148" bestFit="1" customWidth="1"/>
    <col min="6933" max="6934" width="16.28515625" style="148" bestFit="1" customWidth="1"/>
    <col min="6935" max="6935" width="11.85546875" style="148" bestFit="1" customWidth="1"/>
    <col min="6936" max="6938" width="15.5703125" style="148" bestFit="1" customWidth="1"/>
    <col min="6939" max="7168" width="11.42578125" style="148"/>
    <col min="7169" max="7169" width="2.5703125" style="148" customWidth="1"/>
    <col min="7170" max="7170" width="37.5703125" style="148" customWidth="1"/>
    <col min="7171" max="7173" width="14.140625" style="148" customWidth="1"/>
    <col min="7174" max="7174" width="19.42578125" style="148" customWidth="1"/>
    <col min="7175" max="7175" width="13.5703125" style="148" customWidth="1"/>
    <col min="7176" max="7176" width="14.140625" style="148" customWidth="1"/>
    <col min="7177" max="7180" width="12.7109375" style="148" customWidth="1"/>
    <col min="7181" max="7181" width="12.42578125" style="148" customWidth="1"/>
    <col min="7182" max="7185" width="12.7109375" style="148" customWidth="1"/>
    <col min="7186" max="7186" width="11.42578125" style="148"/>
    <col min="7187" max="7187" width="16.28515625" style="148" bestFit="1" customWidth="1"/>
    <col min="7188" max="7188" width="19" style="148" bestFit="1" customWidth="1"/>
    <col min="7189" max="7190" width="16.28515625" style="148" bestFit="1" customWidth="1"/>
    <col min="7191" max="7191" width="11.85546875" style="148" bestFit="1" customWidth="1"/>
    <col min="7192" max="7194" width="15.5703125" style="148" bestFit="1" customWidth="1"/>
    <col min="7195" max="7424" width="11.42578125" style="148"/>
    <col min="7425" max="7425" width="2.5703125" style="148" customWidth="1"/>
    <col min="7426" max="7426" width="37.5703125" style="148" customWidth="1"/>
    <col min="7427" max="7429" width="14.140625" style="148" customWidth="1"/>
    <col min="7430" max="7430" width="19.42578125" style="148" customWidth="1"/>
    <col min="7431" max="7431" width="13.5703125" style="148" customWidth="1"/>
    <col min="7432" max="7432" width="14.140625" style="148" customWidth="1"/>
    <col min="7433" max="7436" width="12.7109375" style="148" customWidth="1"/>
    <col min="7437" max="7437" width="12.42578125" style="148" customWidth="1"/>
    <col min="7438" max="7441" width="12.7109375" style="148" customWidth="1"/>
    <col min="7442" max="7442" width="11.42578125" style="148"/>
    <col min="7443" max="7443" width="16.28515625" style="148" bestFit="1" customWidth="1"/>
    <col min="7444" max="7444" width="19" style="148" bestFit="1" customWidth="1"/>
    <col min="7445" max="7446" width="16.28515625" style="148" bestFit="1" customWidth="1"/>
    <col min="7447" max="7447" width="11.85546875" style="148" bestFit="1" customWidth="1"/>
    <col min="7448" max="7450" width="15.5703125" style="148" bestFit="1" customWidth="1"/>
    <col min="7451" max="7680" width="11.42578125" style="148"/>
    <col min="7681" max="7681" width="2.5703125" style="148" customWidth="1"/>
    <col min="7682" max="7682" width="37.5703125" style="148" customWidth="1"/>
    <col min="7683" max="7685" width="14.140625" style="148" customWidth="1"/>
    <col min="7686" max="7686" width="19.42578125" style="148" customWidth="1"/>
    <col min="7687" max="7687" width="13.5703125" style="148" customWidth="1"/>
    <col min="7688" max="7688" width="14.140625" style="148" customWidth="1"/>
    <col min="7689" max="7692" width="12.7109375" style="148" customWidth="1"/>
    <col min="7693" max="7693" width="12.42578125" style="148" customWidth="1"/>
    <col min="7694" max="7697" width="12.7109375" style="148" customWidth="1"/>
    <col min="7698" max="7698" width="11.42578125" style="148"/>
    <col min="7699" max="7699" width="16.28515625" style="148" bestFit="1" customWidth="1"/>
    <col min="7700" max="7700" width="19" style="148" bestFit="1" customWidth="1"/>
    <col min="7701" max="7702" width="16.28515625" style="148" bestFit="1" customWidth="1"/>
    <col min="7703" max="7703" width="11.85546875" style="148" bestFit="1" customWidth="1"/>
    <col min="7704" max="7706" width="15.5703125" style="148" bestFit="1" customWidth="1"/>
    <col min="7707" max="7936" width="11.42578125" style="148"/>
    <col min="7937" max="7937" width="2.5703125" style="148" customWidth="1"/>
    <col min="7938" max="7938" width="37.5703125" style="148" customWidth="1"/>
    <col min="7939" max="7941" width="14.140625" style="148" customWidth="1"/>
    <col min="7942" max="7942" width="19.42578125" style="148" customWidth="1"/>
    <col min="7943" max="7943" width="13.5703125" style="148" customWidth="1"/>
    <col min="7944" max="7944" width="14.140625" style="148" customWidth="1"/>
    <col min="7945" max="7948" width="12.7109375" style="148" customWidth="1"/>
    <col min="7949" max="7949" width="12.42578125" style="148" customWidth="1"/>
    <col min="7950" max="7953" width="12.7109375" style="148" customWidth="1"/>
    <col min="7954" max="7954" width="11.42578125" style="148"/>
    <col min="7955" max="7955" width="16.28515625" style="148" bestFit="1" customWidth="1"/>
    <col min="7956" max="7956" width="19" style="148" bestFit="1" customWidth="1"/>
    <col min="7957" max="7958" width="16.28515625" style="148" bestFit="1" customWidth="1"/>
    <col min="7959" max="7959" width="11.85546875" style="148" bestFit="1" customWidth="1"/>
    <col min="7960" max="7962" width="15.5703125" style="148" bestFit="1" customWidth="1"/>
    <col min="7963" max="8192" width="11.42578125" style="148"/>
    <col min="8193" max="8193" width="2.5703125" style="148" customWidth="1"/>
    <col min="8194" max="8194" width="37.5703125" style="148" customWidth="1"/>
    <col min="8195" max="8197" width="14.140625" style="148" customWidth="1"/>
    <col min="8198" max="8198" width="19.42578125" style="148" customWidth="1"/>
    <col min="8199" max="8199" width="13.5703125" style="148" customWidth="1"/>
    <col min="8200" max="8200" width="14.140625" style="148" customWidth="1"/>
    <col min="8201" max="8204" width="12.7109375" style="148" customWidth="1"/>
    <col min="8205" max="8205" width="12.42578125" style="148" customWidth="1"/>
    <col min="8206" max="8209" width="12.7109375" style="148" customWidth="1"/>
    <col min="8210" max="8210" width="11.42578125" style="148"/>
    <col min="8211" max="8211" width="16.28515625" style="148" bestFit="1" customWidth="1"/>
    <col min="8212" max="8212" width="19" style="148" bestFit="1" customWidth="1"/>
    <col min="8213" max="8214" width="16.28515625" style="148" bestFit="1" customWidth="1"/>
    <col min="8215" max="8215" width="11.85546875" style="148" bestFit="1" customWidth="1"/>
    <col min="8216" max="8218" width="15.5703125" style="148" bestFit="1" customWidth="1"/>
    <col min="8219" max="8448" width="11.42578125" style="148"/>
    <col min="8449" max="8449" width="2.5703125" style="148" customWidth="1"/>
    <col min="8450" max="8450" width="37.5703125" style="148" customWidth="1"/>
    <col min="8451" max="8453" width="14.140625" style="148" customWidth="1"/>
    <col min="8454" max="8454" width="19.42578125" style="148" customWidth="1"/>
    <col min="8455" max="8455" width="13.5703125" style="148" customWidth="1"/>
    <col min="8456" max="8456" width="14.140625" style="148" customWidth="1"/>
    <col min="8457" max="8460" width="12.7109375" style="148" customWidth="1"/>
    <col min="8461" max="8461" width="12.42578125" style="148" customWidth="1"/>
    <col min="8462" max="8465" width="12.7109375" style="148" customWidth="1"/>
    <col min="8466" max="8466" width="11.42578125" style="148"/>
    <col min="8467" max="8467" width="16.28515625" style="148" bestFit="1" customWidth="1"/>
    <col min="8468" max="8468" width="19" style="148" bestFit="1" customWidth="1"/>
    <col min="8469" max="8470" width="16.28515625" style="148" bestFit="1" customWidth="1"/>
    <col min="8471" max="8471" width="11.85546875" style="148" bestFit="1" customWidth="1"/>
    <col min="8472" max="8474" width="15.5703125" style="148" bestFit="1" customWidth="1"/>
    <col min="8475" max="8704" width="11.42578125" style="148"/>
    <col min="8705" max="8705" width="2.5703125" style="148" customWidth="1"/>
    <col min="8706" max="8706" width="37.5703125" style="148" customWidth="1"/>
    <col min="8707" max="8709" width="14.140625" style="148" customWidth="1"/>
    <col min="8710" max="8710" width="19.42578125" style="148" customWidth="1"/>
    <col min="8711" max="8711" width="13.5703125" style="148" customWidth="1"/>
    <col min="8712" max="8712" width="14.140625" style="148" customWidth="1"/>
    <col min="8713" max="8716" width="12.7109375" style="148" customWidth="1"/>
    <col min="8717" max="8717" width="12.42578125" style="148" customWidth="1"/>
    <col min="8718" max="8721" width="12.7109375" style="148" customWidth="1"/>
    <col min="8722" max="8722" width="11.42578125" style="148"/>
    <col min="8723" max="8723" width="16.28515625" style="148" bestFit="1" customWidth="1"/>
    <col min="8724" max="8724" width="19" style="148" bestFit="1" customWidth="1"/>
    <col min="8725" max="8726" width="16.28515625" style="148" bestFit="1" customWidth="1"/>
    <col min="8727" max="8727" width="11.85546875" style="148" bestFit="1" customWidth="1"/>
    <col min="8728" max="8730" width="15.5703125" style="148" bestFit="1" customWidth="1"/>
    <col min="8731" max="8960" width="11.42578125" style="148"/>
    <col min="8961" max="8961" width="2.5703125" style="148" customWidth="1"/>
    <col min="8962" max="8962" width="37.5703125" style="148" customWidth="1"/>
    <col min="8963" max="8965" width="14.140625" style="148" customWidth="1"/>
    <col min="8966" max="8966" width="19.42578125" style="148" customWidth="1"/>
    <col min="8967" max="8967" width="13.5703125" style="148" customWidth="1"/>
    <col min="8968" max="8968" width="14.140625" style="148" customWidth="1"/>
    <col min="8969" max="8972" width="12.7109375" style="148" customWidth="1"/>
    <col min="8973" max="8973" width="12.42578125" style="148" customWidth="1"/>
    <col min="8974" max="8977" width="12.7109375" style="148" customWidth="1"/>
    <col min="8978" max="8978" width="11.42578125" style="148"/>
    <col min="8979" max="8979" width="16.28515625" style="148" bestFit="1" customWidth="1"/>
    <col min="8980" max="8980" width="19" style="148" bestFit="1" customWidth="1"/>
    <col min="8981" max="8982" width="16.28515625" style="148" bestFit="1" customWidth="1"/>
    <col min="8983" max="8983" width="11.85546875" style="148" bestFit="1" customWidth="1"/>
    <col min="8984" max="8986" width="15.5703125" style="148" bestFit="1" customWidth="1"/>
    <col min="8987" max="9216" width="11.42578125" style="148"/>
    <col min="9217" max="9217" width="2.5703125" style="148" customWidth="1"/>
    <col min="9218" max="9218" width="37.5703125" style="148" customWidth="1"/>
    <col min="9219" max="9221" width="14.140625" style="148" customWidth="1"/>
    <col min="9222" max="9222" width="19.42578125" style="148" customWidth="1"/>
    <col min="9223" max="9223" width="13.5703125" style="148" customWidth="1"/>
    <col min="9224" max="9224" width="14.140625" style="148" customWidth="1"/>
    <col min="9225" max="9228" width="12.7109375" style="148" customWidth="1"/>
    <col min="9229" max="9229" width="12.42578125" style="148" customWidth="1"/>
    <col min="9230" max="9233" width="12.7109375" style="148" customWidth="1"/>
    <col min="9234" max="9234" width="11.42578125" style="148"/>
    <col min="9235" max="9235" width="16.28515625" style="148" bestFit="1" customWidth="1"/>
    <col min="9236" max="9236" width="19" style="148" bestFit="1" customWidth="1"/>
    <col min="9237" max="9238" width="16.28515625" style="148" bestFit="1" customWidth="1"/>
    <col min="9239" max="9239" width="11.85546875" style="148" bestFit="1" customWidth="1"/>
    <col min="9240" max="9242" width="15.5703125" style="148" bestFit="1" customWidth="1"/>
    <col min="9243" max="9472" width="11.42578125" style="148"/>
    <col min="9473" max="9473" width="2.5703125" style="148" customWidth="1"/>
    <col min="9474" max="9474" width="37.5703125" style="148" customWidth="1"/>
    <col min="9475" max="9477" width="14.140625" style="148" customWidth="1"/>
    <col min="9478" max="9478" width="19.42578125" style="148" customWidth="1"/>
    <col min="9479" max="9479" width="13.5703125" style="148" customWidth="1"/>
    <col min="9480" max="9480" width="14.140625" style="148" customWidth="1"/>
    <col min="9481" max="9484" width="12.7109375" style="148" customWidth="1"/>
    <col min="9485" max="9485" width="12.42578125" style="148" customWidth="1"/>
    <col min="9486" max="9489" width="12.7109375" style="148" customWidth="1"/>
    <col min="9490" max="9490" width="11.42578125" style="148"/>
    <col min="9491" max="9491" width="16.28515625" style="148" bestFit="1" customWidth="1"/>
    <col min="9492" max="9492" width="19" style="148" bestFit="1" customWidth="1"/>
    <col min="9493" max="9494" width="16.28515625" style="148" bestFit="1" customWidth="1"/>
    <col min="9495" max="9495" width="11.85546875" style="148" bestFit="1" customWidth="1"/>
    <col min="9496" max="9498" width="15.5703125" style="148" bestFit="1" customWidth="1"/>
    <col min="9499" max="9728" width="11.42578125" style="148"/>
    <col min="9729" max="9729" width="2.5703125" style="148" customWidth="1"/>
    <col min="9730" max="9730" width="37.5703125" style="148" customWidth="1"/>
    <col min="9731" max="9733" width="14.140625" style="148" customWidth="1"/>
    <col min="9734" max="9734" width="19.42578125" style="148" customWidth="1"/>
    <col min="9735" max="9735" width="13.5703125" style="148" customWidth="1"/>
    <col min="9736" max="9736" width="14.140625" style="148" customWidth="1"/>
    <col min="9737" max="9740" width="12.7109375" style="148" customWidth="1"/>
    <col min="9741" max="9741" width="12.42578125" style="148" customWidth="1"/>
    <col min="9742" max="9745" width="12.7109375" style="148" customWidth="1"/>
    <col min="9746" max="9746" width="11.42578125" style="148"/>
    <col min="9747" max="9747" width="16.28515625" style="148" bestFit="1" customWidth="1"/>
    <col min="9748" max="9748" width="19" style="148" bestFit="1" customWidth="1"/>
    <col min="9749" max="9750" width="16.28515625" style="148" bestFit="1" customWidth="1"/>
    <col min="9751" max="9751" width="11.85546875" style="148" bestFit="1" customWidth="1"/>
    <col min="9752" max="9754" width="15.5703125" style="148" bestFit="1" customWidth="1"/>
    <col min="9755" max="9984" width="11.42578125" style="148"/>
    <col min="9985" max="9985" width="2.5703125" style="148" customWidth="1"/>
    <col min="9986" max="9986" width="37.5703125" style="148" customWidth="1"/>
    <col min="9987" max="9989" width="14.140625" style="148" customWidth="1"/>
    <col min="9990" max="9990" width="19.42578125" style="148" customWidth="1"/>
    <col min="9991" max="9991" width="13.5703125" style="148" customWidth="1"/>
    <col min="9992" max="9992" width="14.140625" style="148" customWidth="1"/>
    <col min="9993" max="9996" width="12.7109375" style="148" customWidth="1"/>
    <col min="9997" max="9997" width="12.42578125" style="148" customWidth="1"/>
    <col min="9998" max="10001" width="12.7109375" style="148" customWidth="1"/>
    <col min="10002" max="10002" width="11.42578125" style="148"/>
    <col min="10003" max="10003" width="16.28515625" style="148" bestFit="1" customWidth="1"/>
    <col min="10004" max="10004" width="19" style="148" bestFit="1" customWidth="1"/>
    <col min="10005" max="10006" width="16.28515625" style="148" bestFit="1" customWidth="1"/>
    <col min="10007" max="10007" width="11.85546875" style="148" bestFit="1" customWidth="1"/>
    <col min="10008" max="10010" width="15.5703125" style="148" bestFit="1" customWidth="1"/>
    <col min="10011" max="10240" width="11.42578125" style="148"/>
    <col min="10241" max="10241" width="2.5703125" style="148" customWidth="1"/>
    <col min="10242" max="10242" width="37.5703125" style="148" customWidth="1"/>
    <col min="10243" max="10245" width="14.140625" style="148" customWidth="1"/>
    <col min="10246" max="10246" width="19.42578125" style="148" customWidth="1"/>
    <col min="10247" max="10247" width="13.5703125" style="148" customWidth="1"/>
    <col min="10248" max="10248" width="14.140625" style="148" customWidth="1"/>
    <col min="10249" max="10252" width="12.7109375" style="148" customWidth="1"/>
    <col min="10253" max="10253" width="12.42578125" style="148" customWidth="1"/>
    <col min="10254" max="10257" width="12.7109375" style="148" customWidth="1"/>
    <col min="10258" max="10258" width="11.42578125" style="148"/>
    <col min="10259" max="10259" width="16.28515625" style="148" bestFit="1" customWidth="1"/>
    <col min="10260" max="10260" width="19" style="148" bestFit="1" customWidth="1"/>
    <col min="10261" max="10262" width="16.28515625" style="148" bestFit="1" customWidth="1"/>
    <col min="10263" max="10263" width="11.85546875" style="148" bestFit="1" customWidth="1"/>
    <col min="10264" max="10266" width="15.5703125" style="148" bestFit="1" customWidth="1"/>
    <col min="10267" max="10496" width="11.42578125" style="148"/>
    <col min="10497" max="10497" width="2.5703125" style="148" customWidth="1"/>
    <col min="10498" max="10498" width="37.5703125" style="148" customWidth="1"/>
    <col min="10499" max="10501" width="14.140625" style="148" customWidth="1"/>
    <col min="10502" max="10502" width="19.42578125" style="148" customWidth="1"/>
    <col min="10503" max="10503" width="13.5703125" style="148" customWidth="1"/>
    <col min="10504" max="10504" width="14.140625" style="148" customWidth="1"/>
    <col min="10505" max="10508" width="12.7109375" style="148" customWidth="1"/>
    <col min="10509" max="10509" width="12.42578125" style="148" customWidth="1"/>
    <col min="10510" max="10513" width="12.7109375" style="148" customWidth="1"/>
    <col min="10514" max="10514" width="11.42578125" style="148"/>
    <col min="10515" max="10515" width="16.28515625" style="148" bestFit="1" customWidth="1"/>
    <col min="10516" max="10516" width="19" style="148" bestFit="1" customWidth="1"/>
    <col min="10517" max="10518" width="16.28515625" style="148" bestFit="1" customWidth="1"/>
    <col min="10519" max="10519" width="11.85546875" style="148" bestFit="1" customWidth="1"/>
    <col min="10520" max="10522" width="15.5703125" style="148" bestFit="1" customWidth="1"/>
    <col min="10523" max="10752" width="11.42578125" style="148"/>
    <col min="10753" max="10753" width="2.5703125" style="148" customWidth="1"/>
    <col min="10754" max="10754" width="37.5703125" style="148" customWidth="1"/>
    <col min="10755" max="10757" width="14.140625" style="148" customWidth="1"/>
    <col min="10758" max="10758" width="19.42578125" style="148" customWidth="1"/>
    <col min="10759" max="10759" width="13.5703125" style="148" customWidth="1"/>
    <col min="10760" max="10760" width="14.140625" style="148" customWidth="1"/>
    <col min="10761" max="10764" width="12.7109375" style="148" customWidth="1"/>
    <col min="10765" max="10765" width="12.42578125" style="148" customWidth="1"/>
    <col min="10766" max="10769" width="12.7109375" style="148" customWidth="1"/>
    <col min="10770" max="10770" width="11.42578125" style="148"/>
    <col min="10771" max="10771" width="16.28515625" style="148" bestFit="1" customWidth="1"/>
    <col min="10772" max="10772" width="19" style="148" bestFit="1" customWidth="1"/>
    <col min="10773" max="10774" width="16.28515625" style="148" bestFit="1" customWidth="1"/>
    <col min="10775" max="10775" width="11.85546875" style="148" bestFit="1" customWidth="1"/>
    <col min="10776" max="10778" width="15.5703125" style="148" bestFit="1" customWidth="1"/>
    <col min="10779" max="11008" width="11.42578125" style="148"/>
    <col min="11009" max="11009" width="2.5703125" style="148" customWidth="1"/>
    <col min="11010" max="11010" width="37.5703125" style="148" customWidth="1"/>
    <col min="11011" max="11013" width="14.140625" style="148" customWidth="1"/>
    <col min="11014" max="11014" width="19.42578125" style="148" customWidth="1"/>
    <col min="11015" max="11015" width="13.5703125" style="148" customWidth="1"/>
    <col min="11016" max="11016" width="14.140625" style="148" customWidth="1"/>
    <col min="11017" max="11020" width="12.7109375" style="148" customWidth="1"/>
    <col min="11021" max="11021" width="12.42578125" style="148" customWidth="1"/>
    <col min="11022" max="11025" width="12.7109375" style="148" customWidth="1"/>
    <col min="11026" max="11026" width="11.42578125" style="148"/>
    <col min="11027" max="11027" width="16.28515625" style="148" bestFit="1" customWidth="1"/>
    <col min="11028" max="11028" width="19" style="148" bestFit="1" customWidth="1"/>
    <col min="11029" max="11030" width="16.28515625" style="148" bestFit="1" customWidth="1"/>
    <col min="11031" max="11031" width="11.85546875" style="148" bestFit="1" customWidth="1"/>
    <col min="11032" max="11034" width="15.5703125" style="148" bestFit="1" customWidth="1"/>
    <col min="11035" max="11264" width="11.42578125" style="148"/>
    <col min="11265" max="11265" width="2.5703125" style="148" customWidth="1"/>
    <col min="11266" max="11266" width="37.5703125" style="148" customWidth="1"/>
    <col min="11267" max="11269" width="14.140625" style="148" customWidth="1"/>
    <col min="11270" max="11270" width="19.42578125" style="148" customWidth="1"/>
    <col min="11271" max="11271" width="13.5703125" style="148" customWidth="1"/>
    <col min="11272" max="11272" width="14.140625" style="148" customWidth="1"/>
    <col min="11273" max="11276" width="12.7109375" style="148" customWidth="1"/>
    <col min="11277" max="11277" width="12.42578125" style="148" customWidth="1"/>
    <col min="11278" max="11281" width="12.7109375" style="148" customWidth="1"/>
    <col min="11282" max="11282" width="11.42578125" style="148"/>
    <col min="11283" max="11283" width="16.28515625" style="148" bestFit="1" customWidth="1"/>
    <col min="11284" max="11284" width="19" style="148" bestFit="1" customWidth="1"/>
    <col min="11285" max="11286" width="16.28515625" style="148" bestFit="1" customWidth="1"/>
    <col min="11287" max="11287" width="11.85546875" style="148" bestFit="1" customWidth="1"/>
    <col min="11288" max="11290" width="15.5703125" style="148" bestFit="1" customWidth="1"/>
    <col min="11291" max="11520" width="11.42578125" style="148"/>
    <col min="11521" max="11521" width="2.5703125" style="148" customWidth="1"/>
    <col min="11522" max="11522" width="37.5703125" style="148" customWidth="1"/>
    <col min="11523" max="11525" width="14.140625" style="148" customWidth="1"/>
    <col min="11526" max="11526" width="19.42578125" style="148" customWidth="1"/>
    <col min="11527" max="11527" width="13.5703125" style="148" customWidth="1"/>
    <col min="11528" max="11528" width="14.140625" style="148" customWidth="1"/>
    <col min="11529" max="11532" width="12.7109375" style="148" customWidth="1"/>
    <col min="11533" max="11533" width="12.42578125" style="148" customWidth="1"/>
    <col min="11534" max="11537" width="12.7109375" style="148" customWidth="1"/>
    <col min="11538" max="11538" width="11.42578125" style="148"/>
    <col min="11539" max="11539" width="16.28515625" style="148" bestFit="1" customWidth="1"/>
    <col min="11540" max="11540" width="19" style="148" bestFit="1" customWidth="1"/>
    <col min="11541" max="11542" width="16.28515625" style="148" bestFit="1" customWidth="1"/>
    <col min="11543" max="11543" width="11.85546875" style="148" bestFit="1" customWidth="1"/>
    <col min="11544" max="11546" width="15.5703125" style="148" bestFit="1" customWidth="1"/>
    <col min="11547" max="11776" width="11.42578125" style="148"/>
    <col min="11777" max="11777" width="2.5703125" style="148" customWidth="1"/>
    <col min="11778" max="11778" width="37.5703125" style="148" customWidth="1"/>
    <col min="11779" max="11781" width="14.140625" style="148" customWidth="1"/>
    <col min="11782" max="11782" width="19.42578125" style="148" customWidth="1"/>
    <col min="11783" max="11783" width="13.5703125" style="148" customWidth="1"/>
    <col min="11784" max="11784" width="14.140625" style="148" customWidth="1"/>
    <col min="11785" max="11788" width="12.7109375" style="148" customWidth="1"/>
    <col min="11789" max="11789" width="12.42578125" style="148" customWidth="1"/>
    <col min="11790" max="11793" width="12.7109375" style="148" customWidth="1"/>
    <col min="11794" max="11794" width="11.42578125" style="148"/>
    <col min="11795" max="11795" width="16.28515625" style="148" bestFit="1" customWidth="1"/>
    <col min="11796" max="11796" width="19" style="148" bestFit="1" customWidth="1"/>
    <col min="11797" max="11798" width="16.28515625" style="148" bestFit="1" customWidth="1"/>
    <col min="11799" max="11799" width="11.85546875" style="148" bestFit="1" customWidth="1"/>
    <col min="11800" max="11802" width="15.5703125" style="148" bestFit="1" customWidth="1"/>
    <col min="11803" max="12032" width="11.42578125" style="148"/>
    <col min="12033" max="12033" width="2.5703125" style="148" customWidth="1"/>
    <col min="12034" max="12034" width="37.5703125" style="148" customWidth="1"/>
    <col min="12035" max="12037" width="14.140625" style="148" customWidth="1"/>
    <col min="12038" max="12038" width="19.42578125" style="148" customWidth="1"/>
    <col min="12039" max="12039" width="13.5703125" style="148" customWidth="1"/>
    <col min="12040" max="12040" width="14.140625" style="148" customWidth="1"/>
    <col min="12041" max="12044" width="12.7109375" style="148" customWidth="1"/>
    <col min="12045" max="12045" width="12.42578125" style="148" customWidth="1"/>
    <col min="12046" max="12049" width="12.7109375" style="148" customWidth="1"/>
    <col min="12050" max="12050" width="11.42578125" style="148"/>
    <col min="12051" max="12051" width="16.28515625" style="148" bestFit="1" customWidth="1"/>
    <col min="12052" max="12052" width="19" style="148" bestFit="1" customWidth="1"/>
    <col min="12053" max="12054" width="16.28515625" style="148" bestFit="1" customWidth="1"/>
    <col min="12055" max="12055" width="11.85546875" style="148" bestFit="1" customWidth="1"/>
    <col min="12056" max="12058" width="15.5703125" style="148" bestFit="1" customWidth="1"/>
    <col min="12059" max="12288" width="11.42578125" style="148"/>
    <col min="12289" max="12289" width="2.5703125" style="148" customWidth="1"/>
    <col min="12290" max="12290" width="37.5703125" style="148" customWidth="1"/>
    <col min="12291" max="12293" width="14.140625" style="148" customWidth="1"/>
    <col min="12294" max="12294" width="19.42578125" style="148" customWidth="1"/>
    <col min="12295" max="12295" width="13.5703125" style="148" customWidth="1"/>
    <col min="12296" max="12296" width="14.140625" style="148" customWidth="1"/>
    <col min="12297" max="12300" width="12.7109375" style="148" customWidth="1"/>
    <col min="12301" max="12301" width="12.42578125" style="148" customWidth="1"/>
    <col min="12302" max="12305" width="12.7109375" style="148" customWidth="1"/>
    <col min="12306" max="12306" width="11.42578125" style="148"/>
    <col min="12307" max="12307" width="16.28515625" style="148" bestFit="1" customWidth="1"/>
    <col min="12308" max="12308" width="19" style="148" bestFit="1" customWidth="1"/>
    <col min="12309" max="12310" width="16.28515625" style="148" bestFit="1" customWidth="1"/>
    <col min="12311" max="12311" width="11.85546875" style="148" bestFit="1" customWidth="1"/>
    <col min="12312" max="12314" width="15.5703125" style="148" bestFit="1" customWidth="1"/>
    <col min="12315" max="12544" width="11.42578125" style="148"/>
    <col min="12545" max="12545" width="2.5703125" style="148" customWidth="1"/>
    <col min="12546" max="12546" width="37.5703125" style="148" customWidth="1"/>
    <col min="12547" max="12549" width="14.140625" style="148" customWidth="1"/>
    <col min="12550" max="12550" width="19.42578125" style="148" customWidth="1"/>
    <col min="12551" max="12551" width="13.5703125" style="148" customWidth="1"/>
    <col min="12552" max="12552" width="14.140625" style="148" customWidth="1"/>
    <col min="12553" max="12556" width="12.7109375" style="148" customWidth="1"/>
    <col min="12557" max="12557" width="12.42578125" style="148" customWidth="1"/>
    <col min="12558" max="12561" width="12.7109375" style="148" customWidth="1"/>
    <col min="12562" max="12562" width="11.42578125" style="148"/>
    <col min="12563" max="12563" width="16.28515625" style="148" bestFit="1" customWidth="1"/>
    <col min="12564" max="12564" width="19" style="148" bestFit="1" customWidth="1"/>
    <col min="12565" max="12566" width="16.28515625" style="148" bestFit="1" customWidth="1"/>
    <col min="12567" max="12567" width="11.85546875" style="148" bestFit="1" customWidth="1"/>
    <col min="12568" max="12570" width="15.5703125" style="148" bestFit="1" customWidth="1"/>
    <col min="12571" max="12800" width="11.42578125" style="148"/>
    <col min="12801" max="12801" width="2.5703125" style="148" customWidth="1"/>
    <col min="12802" max="12802" width="37.5703125" style="148" customWidth="1"/>
    <col min="12803" max="12805" width="14.140625" style="148" customWidth="1"/>
    <col min="12806" max="12806" width="19.42578125" style="148" customWidth="1"/>
    <col min="12807" max="12807" width="13.5703125" style="148" customWidth="1"/>
    <col min="12808" max="12808" width="14.140625" style="148" customWidth="1"/>
    <col min="12809" max="12812" width="12.7109375" style="148" customWidth="1"/>
    <col min="12813" max="12813" width="12.42578125" style="148" customWidth="1"/>
    <col min="12814" max="12817" width="12.7109375" style="148" customWidth="1"/>
    <col min="12818" max="12818" width="11.42578125" style="148"/>
    <col min="12819" max="12819" width="16.28515625" style="148" bestFit="1" customWidth="1"/>
    <col min="12820" max="12820" width="19" style="148" bestFit="1" customWidth="1"/>
    <col min="12821" max="12822" width="16.28515625" style="148" bestFit="1" customWidth="1"/>
    <col min="12823" max="12823" width="11.85546875" style="148" bestFit="1" customWidth="1"/>
    <col min="12824" max="12826" width="15.5703125" style="148" bestFit="1" customWidth="1"/>
    <col min="12827" max="13056" width="11.42578125" style="148"/>
    <col min="13057" max="13057" width="2.5703125" style="148" customWidth="1"/>
    <col min="13058" max="13058" width="37.5703125" style="148" customWidth="1"/>
    <col min="13059" max="13061" width="14.140625" style="148" customWidth="1"/>
    <col min="13062" max="13062" width="19.42578125" style="148" customWidth="1"/>
    <col min="13063" max="13063" width="13.5703125" style="148" customWidth="1"/>
    <col min="13064" max="13064" width="14.140625" style="148" customWidth="1"/>
    <col min="13065" max="13068" width="12.7109375" style="148" customWidth="1"/>
    <col min="13069" max="13069" width="12.42578125" style="148" customWidth="1"/>
    <col min="13070" max="13073" width="12.7109375" style="148" customWidth="1"/>
    <col min="13074" max="13074" width="11.42578125" style="148"/>
    <col min="13075" max="13075" width="16.28515625" style="148" bestFit="1" customWidth="1"/>
    <col min="13076" max="13076" width="19" style="148" bestFit="1" customWidth="1"/>
    <col min="13077" max="13078" width="16.28515625" style="148" bestFit="1" customWidth="1"/>
    <col min="13079" max="13079" width="11.85546875" style="148" bestFit="1" customWidth="1"/>
    <col min="13080" max="13082" width="15.5703125" style="148" bestFit="1" customWidth="1"/>
    <col min="13083" max="13312" width="11.42578125" style="148"/>
    <col min="13313" max="13313" width="2.5703125" style="148" customWidth="1"/>
    <col min="13314" max="13314" width="37.5703125" style="148" customWidth="1"/>
    <col min="13315" max="13317" width="14.140625" style="148" customWidth="1"/>
    <col min="13318" max="13318" width="19.42578125" style="148" customWidth="1"/>
    <col min="13319" max="13319" width="13.5703125" style="148" customWidth="1"/>
    <col min="13320" max="13320" width="14.140625" style="148" customWidth="1"/>
    <col min="13321" max="13324" width="12.7109375" style="148" customWidth="1"/>
    <col min="13325" max="13325" width="12.42578125" style="148" customWidth="1"/>
    <col min="13326" max="13329" width="12.7109375" style="148" customWidth="1"/>
    <col min="13330" max="13330" width="11.42578125" style="148"/>
    <col min="13331" max="13331" width="16.28515625" style="148" bestFit="1" customWidth="1"/>
    <col min="13332" max="13332" width="19" style="148" bestFit="1" customWidth="1"/>
    <col min="13333" max="13334" width="16.28515625" style="148" bestFit="1" customWidth="1"/>
    <col min="13335" max="13335" width="11.85546875" style="148" bestFit="1" customWidth="1"/>
    <col min="13336" max="13338" width="15.5703125" style="148" bestFit="1" customWidth="1"/>
    <col min="13339" max="13568" width="11.42578125" style="148"/>
    <col min="13569" max="13569" width="2.5703125" style="148" customWidth="1"/>
    <col min="13570" max="13570" width="37.5703125" style="148" customWidth="1"/>
    <col min="13571" max="13573" width="14.140625" style="148" customWidth="1"/>
    <col min="13574" max="13574" width="19.42578125" style="148" customWidth="1"/>
    <col min="13575" max="13575" width="13.5703125" style="148" customWidth="1"/>
    <col min="13576" max="13576" width="14.140625" style="148" customWidth="1"/>
    <col min="13577" max="13580" width="12.7109375" style="148" customWidth="1"/>
    <col min="13581" max="13581" width="12.42578125" style="148" customWidth="1"/>
    <col min="13582" max="13585" width="12.7109375" style="148" customWidth="1"/>
    <col min="13586" max="13586" width="11.42578125" style="148"/>
    <col min="13587" max="13587" width="16.28515625" style="148" bestFit="1" customWidth="1"/>
    <col min="13588" max="13588" width="19" style="148" bestFit="1" customWidth="1"/>
    <col min="13589" max="13590" width="16.28515625" style="148" bestFit="1" customWidth="1"/>
    <col min="13591" max="13591" width="11.85546875" style="148" bestFit="1" customWidth="1"/>
    <col min="13592" max="13594" width="15.5703125" style="148" bestFit="1" customWidth="1"/>
    <col min="13595" max="13824" width="11.42578125" style="148"/>
    <col min="13825" max="13825" width="2.5703125" style="148" customWidth="1"/>
    <col min="13826" max="13826" width="37.5703125" style="148" customWidth="1"/>
    <col min="13827" max="13829" width="14.140625" style="148" customWidth="1"/>
    <col min="13830" max="13830" width="19.42578125" style="148" customWidth="1"/>
    <col min="13831" max="13831" width="13.5703125" style="148" customWidth="1"/>
    <col min="13832" max="13832" width="14.140625" style="148" customWidth="1"/>
    <col min="13833" max="13836" width="12.7109375" style="148" customWidth="1"/>
    <col min="13837" max="13837" width="12.42578125" style="148" customWidth="1"/>
    <col min="13838" max="13841" width="12.7109375" style="148" customWidth="1"/>
    <col min="13842" max="13842" width="11.42578125" style="148"/>
    <col min="13843" max="13843" width="16.28515625" style="148" bestFit="1" customWidth="1"/>
    <col min="13844" max="13844" width="19" style="148" bestFit="1" customWidth="1"/>
    <col min="13845" max="13846" width="16.28515625" style="148" bestFit="1" customWidth="1"/>
    <col min="13847" max="13847" width="11.85546875" style="148" bestFit="1" customWidth="1"/>
    <col min="13848" max="13850" width="15.5703125" style="148" bestFit="1" customWidth="1"/>
    <col min="13851" max="14080" width="11.42578125" style="148"/>
    <col min="14081" max="14081" width="2.5703125" style="148" customWidth="1"/>
    <col min="14082" max="14082" width="37.5703125" style="148" customWidth="1"/>
    <col min="14083" max="14085" width="14.140625" style="148" customWidth="1"/>
    <col min="14086" max="14086" width="19.42578125" style="148" customWidth="1"/>
    <col min="14087" max="14087" width="13.5703125" style="148" customWidth="1"/>
    <col min="14088" max="14088" width="14.140625" style="148" customWidth="1"/>
    <col min="14089" max="14092" width="12.7109375" style="148" customWidth="1"/>
    <col min="14093" max="14093" width="12.42578125" style="148" customWidth="1"/>
    <col min="14094" max="14097" width="12.7109375" style="148" customWidth="1"/>
    <col min="14098" max="14098" width="11.42578125" style="148"/>
    <col min="14099" max="14099" width="16.28515625" style="148" bestFit="1" customWidth="1"/>
    <col min="14100" max="14100" width="19" style="148" bestFit="1" customWidth="1"/>
    <col min="14101" max="14102" width="16.28515625" style="148" bestFit="1" customWidth="1"/>
    <col min="14103" max="14103" width="11.85546875" style="148" bestFit="1" customWidth="1"/>
    <col min="14104" max="14106" width="15.5703125" style="148" bestFit="1" customWidth="1"/>
    <col min="14107" max="14336" width="11.42578125" style="148"/>
    <col min="14337" max="14337" width="2.5703125" style="148" customWidth="1"/>
    <col min="14338" max="14338" width="37.5703125" style="148" customWidth="1"/>
    <col min="14339" max="14341" width="14.140625" style="148" customWidth="1"/>
    <col min="14342" max="14342" width="19.42578125" style="148" customWidth="1"/>
    <col min="14343" max="14343" width="13.5703125" style="148" customWidth="1"/>
    <col min="14344" max="14344" width="14.140625" style="148" customWidth="1"/>
    <col min="14345" max="14348" width="12.7109375" style="148" customWidth="1"/>
    <col min="14349" max="14349" width="12.42578125" style="148" customWidth="1"/>
    <col min="14350" max="14353" width="12.7109375" style="148" customWidth="1"/>
    <col min="14354" max="14354" width="11.42578125" style="148"/>
    <col min="14355" max="14355" width="16.28515625" style="148" bestFit="1" customWidth="1"/>
    <col min="14356" max="14356" width="19" style="148" bestFit="1" customWidth="1"/>
    <col min="14357" max="14358" width="16.28515625" style="148" bestFit="1" customWidth="1"/>
    <col min="14359" max="14359" width="11.85546875" style="148" bestFit="1" customWidth="1"/>
    <col min="14360" max="14362" width="15.5703125" style="148" bestFit="1" customWidth="1"/>
    <col min="14363" max="14592" width="11.42578125" style="148"/>
    <col min="14593" max="14593" width="2.5703125" style="148" customWidth="1"/>
    <col min="14594" max="14594" width="37.5703125" style="148" customWidth="1"/>
    <col min="14595" max="14597" width="14.140625" style="148" customWidth="1"/>
    <col min="14598" max="14598" width="19.42578125" style="148" customWidth="1"/>
    <col min="14599" max="14599" width="13.5703125" style="148" customWidth="1"/>
    <col min="14600" max="14600" width="14.140625" style="148" customWidth="1"/>
    <col min="14601" max="14604" width="12.7109375" style="148" customWidth="1"/>
    <col min="14605" max="14605" width="12.42578125" style="148" customWidth="1"/>
    <col min="14606" max="14609" width="12.7109375" style="148" customWidth="1"/>
    <col min="14610" max="14610" width="11.42578125" style="148"/>
    <col min="14611" max="14611" width="16.28515625" style="148" bestFit="1" customWidth="1"/>
    <col min="14612" max="14612" width="19" style="148" bestFit="1" customWidth="1"/>
    <col min="14613" max="14614" width="16.28515625" style="148" bestFit="1" customWidth="1"/>
    <col min="14615" max="14615" width="11.85546875" style="148" bestFit="1" customWidth="1"/>
    <col min="14616" max="14618" width="15.5703125" style="148" bestFit="1" customWidth="1"/>
    <col min="14619" max="14848" width="11.42578125" style="148"/>
    <col min="14849" max="14849" width="2.5703125" style="148" customWidth="1"/>
    <col min="14850" max="14850" width="37.5703125" style="148" customWidth="1"/>
    <col min="14851" max="14853" width="14.140625" style="148" customWidth="1"/>
    <col min="14854" max="14854" width="19.42578125" style="148" customWidth="1"/>
    <col min="14855" max="14855" width="13.5703125" style="148" customWidth="1"/>
    <col min="14856" max="14856" width="14.140625" style="148" customWidth="1"/>
    <col min="14857" max="14860" width="12.7109375" style="148" customWidth="1"/>
    <col min="14861" max="14861" width="12.42578125" style="148" customWidth="1"/>
    <col min="14862" max="14865" width="12.7109375" style="148" customWidth="1"/>
    <col min="14866" max="14866" width="11.42578125" style="148"/>
    <col min="14867" max="14867" width="16.28515625" style="148" bestFit="1" customWidth="1"/>
    <col min="14868" max="14868" width="19" style="148" bestFit="1" customWidth="1"/>
    <col min="14869" max="14870" width="16.28515625" style="148" bestFit="1" customWidth="1"/>
    <col min="14871" max="14871" width="11.85546875" style="148" bestFit="1" customWidth="1"/>
    <col min="14872" max="14874" width="15.5703125" style="148" bestFit="1" customWidth="1"/>
    <col min="14875" max="15104" width="11.42578125" style="148"/>
    <col min="15105" max="15105" width="2.5703125" style="148" customWidth="1"/>
    <col min="15106" max="15106" width="37.5703125" style="148" customWidth="1"/>
    <col min="15107" max="15109" width="14.140625" style="148" customWidth="1"/>
    <col min="15110" max="15110" width="19.42578125" style="148" customWidth="1"/>
    <col min="15111" max="15111" width="13.5703125" style="148" customWidth="1"/>
    <col min="15112" max="15112" width="14.140625" style="148" customWidth="1"/>
    <col min="15113" max="15116" width="12.7109375" style="148" customWidth="1"/>
    <col min="15117" max="15117" width="12.42578125" style="148" customWidth="1"/>
    <col min="15118" max="15121" width="12.7109375" style="148" customWidth="1"/>
    <col min="15122" max="15122" width="11.42578125" style="148"/>
    <col min="15123" max="15123" width="16.28515625" style="148" bestFit="1" customWidth="1"/>
    <col min="15124" max="15124" width="19" style="148" bestFit="1" customWidth="1"/>
    <col min="15125" max="15126" width="16.28515625" style="148" bestFit="1" customWidth="1"/>
    <col min="15127" max="15127" width="11.85546875" style="148" bestFit="1" customWidth="1"/>
    <col min="15128" max="15130" width="15.5703125" style="148" bestFit="1" customWidth="1"/>
    <col min="15131" max="15360" width="11.42578125" style="148"/>
    <col min="15361" max="15361" width="2.5703125" style="148" customWidth="1"/>
    <col min="15362" max="15362" width="37.5703125" style="148" customWidth="1"/>
    <col min="15363" max="15365" width="14.140625" style="148" customWidth="1"/>
    <col min="15366" max="15366" width="19.42578125" style="148" customWidth="1"/>
    <col min="15367" max="15367" width="13.5703125" style="148" customWidth="1"/>
    <col min="15368" max="15368" width="14.140625" style="148" customWidth="1"/>
    <col min="15369" max="15372" width="12.7109375" style="148" customWidth="1"/>
    <col min="15373" max="15373" width="12.42578125" style="148" customWidth="1"/>
    <col min="15374" max="15377" width="12.7109375" style="148" customWidth="1"/>
    <col min="15378" max="15378" width="11.42578125" style="148"/>
    <col min="15379" max="15379" width="16.28515625" style="148" bestFit="1" customWidth="1"/>
    <col min="15380" max="15380" width="19" style="148" bestFit="1" customWidth="1"/>
    <col min="15381" max="15382" width="16.28515625" style="148" bestFit="1" customWidth="1"/>
    <col min="15383" max="15383" width="11.85546875" style="148" bestFit="1" customWidth="1"/>
    <col min="15384" max="15386" width="15.5703125" style="148" bestFit="1" customWidth="1"/>
    <col min="15387" max="15616" width="11.42578125" style="148"/>
    <col min="15617" max="15617" width="2.5703125" style="148" customWidth="1"/>
    <col min="15618" max="15618" width="37.5703125" style="148" customWidth="1"/>
    <col min="15619" max="15621" width="14.140625" style="148" customWidth="1"/>
    <col min="15622" max="15622" width="19.42578125" style="148" customWidth="1"/>
    <col min="15623" max="15623" width="13.5703125" style="148" customWidth="1"/>
    <col min="15624" max="15624" width="14.140625" style="148" customWidth="1"/>
    <col min="15625" max="15628" width="12.7109375" style="148" customWidth="1"/>
    <col min="15629" max="15629" width="12.42578125" style="148" customWidth="1"/>
    <col min="15630" max="15633" width="12.7109375" style="148" customWidth="1"/>
    <col min="15634" max="15634" width="11.42578125" style="148"/>
    <col min="15635" max="15635" width="16.28515625" style="148" bestFit="1" customWidth="1"/>
    <col min="15636" max="15636" width="19" style="148" bestFit="1" customWidth="1"/>
    <col min="15637" max="15638" width="16.28515625" style="148" bestFit="1" customWidth="1"/>
    <col min="15639" max="15639" width="11.85546875" style="148" bestFit="1" customWidth="1"/>
    <col min="15640" max="15642" width="15.5703125" style="148" bestFit="1" customWidth="1"/>
    <col min="15643" max="15872" width="11.42578125" style="148"/>
    <col min="15873" max="15873" width="2.5703125" style="148" customWidth="1"/>
    <col min="15874" max="15874" width="37.5703125" style="148" customWidth="1"/>
    <col min="15875" max="15877" width="14.140625" style="148" customWidth="1"/>
    <col min="15878" max="15878" width="19.42578125" style="148" customWidth="1"/>
    <col min="15879" max="15879" width="13.5703125" style="148" customWidth="1"/>
    <col min="15880" max="15880" width="14.140625" style="148" customWidth="1"/>
    <col min="15881" max="15884" width="12.7109375" style="148" customWidth="1"/>
    <col min="15885" max="15885" width="12.42578125" style="148" customWidth="1"/>
    <col min="15886" max="15889" width="12.7109375" style="148" customWidth="1"/>
    <col min="15890" max="15890" width="11.42578125" style="148"/>
    <col min="15891" max="15891" width="16.28515625" style="148" bestFit="1" customWidth="1"/>
    <col min="15892" max="15892" width="19" style="148" bestFit="1" customWidth="1"/>
    <col min="15893" max="15894" width="16.28515625" style="148" bestFit="1" customWidth="1"/>
    <col min="15895" max="15895" width="11.85546875" style="148" bestFit="1" customWidth="1"/>
    <col min="15896" max="15898" width="15.5703125" style="148" bestFit="1" customWidth="1"/>
    <col min="15899" max="16128" width="11.42578125" style="148"/>
    <col min="16129" max="16129" width="2.5703125" style="148" customWidth="1"/>
    <col min="16130" max="16130" width="37.5703125" style="148" customWidth="1"/>
    <col min="16131" max="16133" width="14.140625" style="148" customWidth="1"/>
    <col min="16134" max="16134" width="19.42578125" style="148" customWidth="1"/>
    <col min="16135" max="16135" width="13.5703125" style="148" customWidth="1"/>
    <col min="16136" max="16136" width="14.140625" style="148" customWidth="1"/>
    <col min="16137" max="16140" width="12.7109375" style="148" customWidth="1"/>
    <col min="16141" max="16141" width="12.42578125" style="148" customWidth="1"/>
    <col min="16142" max="16145" width="12.7109375" style="148" customWidth="1"/>
    <col min="16146" max="16146" width="11.42578125" style="148"/>
    <col min="16147" max="16147" width="16.28515625" style="148" bestFit="1" customWidth="1"/>
    <col min="16148" max="16148" width="19" style="148" bestFit="1" customWidth="1"/>
    <col min="16149" max="16150" width="16.28515625" style="148" bestFit="1" customWidth="1"/>
    <col min="16151" max="16151" width="11.85546875" style="148" bestFit="1" customWidth="1"/>
    <col min="16152" max="16154" width="15.5703125" style="148" bestFit="1" customWidth="1"/>
    <col min="16155" max="16384" width="11.42578125" style="148"/>
  </cols>
  <sheetData>
    <row r="1" spans="1:14" ht="7.5" customHeight="1"/>
    <row r="2" spans="1:14" ht="15.75" hidden="1" thickBot="1">
      <c r="A2" s="147"/>
      <c r="B2" s="4" t="s">
        <v>2343</v>
      </c>
      <c r="C2" s="147"/>
      <c r="D2" s="147"/>
      <c r="E2" s="147"/>
      <c r="F2" s="147"/>
      <c r="G2" s="147"/>
      <c r="H2" s="147"/>
      <c r="I2" s="292"/>
      <c r="J2" s="319" t="s">
        <v>1320</v>
      </c>
      <c r="K2" s="320">
        <v>2.4400000000000002E-2</v>
      </c>
      <c r="L2" s="147"/>
      <c r="M2" s="147"/>
      <c r="N2" s="147"/>
    </row>
    <row r="3" spans="1:14" ht="21" hidden="1" thickBot="1">
      <c r="A3" s="147"/>
      <c r="B3" s="1290" t="s">
        <v>1236</v>
      </c>
      <c r="C3" s="1291"/>
      <c r="D3" s="1291"/>
      <c r="E3" s="1291"/>
      <c r="F3" s="1291"/>
      <c r="G3" s="1292"/>
      <c r="H3" s="147"/>
      <c r="I3" s="149" t="s">
        <v>1237</v>
      </c>
      <c r="J3" s="367" t="s">
        <v>1238</v>
      </c>
      <c r="K3" s="150" t="s">
        <v>1318</v>
      </c>
      <c r="L3" s="147"/>
      <c r="M3" s="147"/>
      <c r="N3" s="147"/>
    </row>
    <row r="4" spans="1:14" ht="15.75" hidden="1" thickBot="1">
      <c r="A4" s="147"/>
      <c r="B4" s="313" t="s">
        <v>1239</v>
      </c>
      <c r="C4" s="314" t="s">
        <v>36</v>
      </c>
      <c r="D4" s="315" t="s">
        <v>1240</v>
      </c>
      <c r="E4" s="315" t="s">
        <v>1241</v>
      </c>
      <c r="F4" s="316" t="s">
        <v>1242</v>
      </c>
      <c r="G4" s="317" t="s">
        <v>1243</v>
      </c>
      <c r="H4" s="147"/>
      <c r="I4" s="151">
        <v>1</v>
      </c>
      <c r="J4" s="342">
        <v>72008.824800000002</v>
      </c>
      <c r="K4" s="152">
        <f>+J4*('Parametros Generales'!$C$27+$K$2)</f>
        <v>73765.840125119998</v>
      </c>
      <c r="L4" s="147"/>
      <c r="M4" s="147"/>
      <c r="N4" s="147"/>
    </row>
    <row r="5" spans="1:14" ht="15" hidden="1">
      <c r="A5" s="147"/>
      <c r="B5" s="309" t="s">
        <v>1244</v>
      </c>
      <c r="C5" s="310" t="s">
        <v>1245</v>
      </c>
      <c r="D5" s="311">
        <v>25</v>
      </c>
      <c r="E5" s="312">
        <v>7975499</v>
      </c>
      <c r="F5" s="163">
        <v>372197</v>
      </c>
      <c r="G5" s="299">
        <v>186099</v>
      </c>
      <c r="H5" s="147"/>
      <c r="I5" s="156">
        <v>656750</v>
      </c>
      <c r="J5" s="188">
        <v>72008.824800000002</v>
      </c>
      <c r="K5" s="157">
        <f>+J5*('Parametros Generales'!$C$27+$K$2)</f>
        <v>73765.840125119998</v>
      </c>
      <c r="L5" s="147"/>
      <c r="M5" s="147"/>
      <c r="N5" s="147"/>
    </row>
    <row r="6" spans="1:14" ht="15" hidden="1">
      <c r="A6" s="147"/>
      <c r="B6" s="293" t="s">
        <v>1246</v>
      </c>
      <c r="C6" s="159" t="s">
        <v>1247</v>
      </c>
      <c r="D6" s="153">
        <v>23</v>
      </c>
      <c r="E6" s="154">
        <v>6854956</v>
      </c>
      <c r="F6" s="158">
        <v>372197</v>
      </c>
      <c r="G6" s="295">
        <f>+G5</f>
        <v>186099</v>
      </c>
      <c r="H6" s="147"/>
      <c r="I6" s="156">
        <v>656750</v>
      </c>
      <c r="J6" s="188">
        <v>72008.824800000002</v>
      </c>
      <c r="K6" s="157">
        <f>+J6*('Parametros Generales'!$C$27+$K$2)</f>
        <v>73765.840125119998</v>
      </c>
      <c r="L6" s="147"/>
      <c r="M6" s="147"/>
      <c r="N6" s="147"/>
    </row>
    <row r="7" spans="1:14" ht="15" hidden="1">
      <c r="A7" s="147"/>
      <c r="B7" s="293" t="s">
        <v>1248</v>
      </c>
      <c r="C7" s="1293" t="s">
        <v>1249</v>
      </c>
      <c r="D7" s="153">
        <v>23</v>
      </c>
      <c r="E7" s="154">
        <v>6854956</v>
      </c>
      <c r="F7" s="160">
        <v>372197</v>
      </c>
      <c r="G7" s="296">
        <f>+G6</f>
        <v>186099</v>
      </c>
      <c r="H7" s="147"/>
      <c r="I7" s="156">
        <v>740268</v>
      </c>
      <c r="J7" s="188">
        <v>98415.358800000002</v>
      </c>
      <c r="K7" s="157">
        <f>+J7*('Parametros Generales'!$C$27+$K$2)</f>
        <v>100816.69355472</v>
      </c>
      <c r="L7" s="147"/>
      <c r="M7" s="147"/>
      <c r="N7" s="147"/>
    </row>
    <row r="8" spans="1:14" ht="15" hidden="1">
      <c r="A8" s="147"/>
      <c r="B8" s="293" t="s">
        <v>1248</v>
      </c>
      <c r="C8" s="1293"/>
      <c r="D8" s="153">
        <v>20</v>
      </c>
      <c r="E8" s="154">
        <v>5563985</v>
      </c>
      <c r="F8" s="161">
        <v>286306</v>
      </c>
      <c r="G8" s="297">
        <v>143153</v>
      </c>
      <c r="H8" s="147"/>
      <c r="I8" s="156">
        <v>740268</v>
      </c>
      <c r="J8" s="188">
        <v>98415.358800000002</v>
      </c>
      <c r="K8" s="157">
        <f>+J8*('Parametros Generales'!$C$27+$K$2)</f>
        <v>100816.69355472</v>
      </c>
      <c r="L8" s="147"/>
      <c r="M8" s="147"/>
      <c r="N8" s="147"/>
    </row>
    <row r="9" spans="1:14" ht="15" hidden="1">
      <c r="A9" s="147"/>
      <c r="B9" s="293" t="s">
        <v>1248</v>
      </c>
      <c r="C9" s="1293"/>
      <c r="D9" s="153">
        <v>18</v>
      </c>
      <c r="E9" s="154">
        <v>4698740</v>
      </c>
      <c r="F9" s="162">
        <v>212236</v>
      </c>
      <c r="G9" s="298">
        <v>106118</v>
      </c>
      <c r="H9" s="147"/>
      <c r="I9" s="156">
        <v>740268</v>
      </c>
      <c r="J9" s="188">
        <v>98415.358800000002</v>
      </c>
      <c r="K9" s="157">
        <f>+J9*('Parametros Generales'!$C$27+$K$2)</f>
        <v>100816.69355472</v>
      </c>
      <c r="L9" s="147"/>
      <c r="M9" s="147"/>
      <c r="N9" s="147"/>
    </row>
    <row r="10" spans="1:14" ht="15" hidden="1">
      <c r="A10" s="147"/>
      <c r="B10" s="293" t="s">
        <v>1250</v>
      </c>
      <c r="C10" s="159" t="s">
        <v>1251</v>
      </c>
      <c r="D10" s="153">
        <v>20</v>
      </c>
      <c r="E10" s="154">
        <v>5563985</v>
      </c>
      <c r="F10" s="155">
        <v>286306</v>
      </c>
      <c r="G10" s="294">
        <v>143153</v>
      </c>
      <c r="H10" s="147"/>
      <c r="I10" s="156">
        <v>740268</v>
      </c>
      <c r="J10" s="188">
        <v>98415.358800000002</v>
      </c>
      <c r="K10" s="157">
        <f>+J10*('Parametros Generales'!$C$27+$K$2)</f>
        <v>100816.69355472</v>
      </c>
      <c r="L10" s="147"/>
      <c r="M10" s="147"/>
      <c r="N10" s="147"/>
    </row>
    <row r="11" spans="1:14" ht="15" hidden="1">
      <c r="A11" s="147"/>
      <c r="B11" s="293" t="s">
        <v>1252</v>
      </c>
      <c r="C11" s="1289">
        <v>1020</v>
      </c>
      <c r="D11" s="153">
        <v>16</v>
      </c>
      <c r="E11" s="154">
        <v>6196765</v>
      </c>
      <c r="F11" s="163">
        <v>286306</v>
      </c>
      <c r="G11" s="299">
        <f t="shared" ref="G11:G16" si="0">+G10</f>
        <v>143153</v>
      </c>
      <c r="H11" s="147"/>
      <c r="I11" s="156">
        <v>813640</v>
      </c>
      <c r="J11" s="188">
        <v>98415.358800000002</v>
      </c>
      <c r="K11" s="157">
        <f>+J11*('Parametros Generales'!$C$27+$K$2)</f>
        <v>100816.69355472</v>
      </c>
      <c r="L11" s="147"/>
      <c r="M11" s="147"/>
      <c r="N11" s="147"/>
    </row>
    <row r="12" spans="1:14" ht="15" hidden="1">
      <c r="A12" s="147"/>
      <c r="B12" s="293" t="s">
        <v>1252</v>
      </c>
      <c r="C12" s="1289">
        <v>1020</v>
      </c>
      <c r="D12" s="153">
        <v>15</v>
      </c>
      <c r="E12" s="154">
        <v>5639460</v>
      </c>
      <c r="F12" s="163">
        <v>286306</v>
      </c>
      <c r="G12" s="299">
        <f t="shared" si="0"/>
        <v>143153</v>
      </c>
      <c r="H12" s="147"/>
      <c r="I12" s="156">
        <v>878230</v>
      </c>
      <c r="J12" s="188">
        <v>98415.358800000002</v>
      </c>
      <c r="K12" s="157">
        <f>+J12*('Parametros Generales'!$C$27+$K$2)</f>
        <v>100816.69355472</v>
      </c>
      <c r="L12" s="147"/>
      <c r="M12" s="147"/>
      <c r="N12" s="147"/>
    </row>
    <row r="13" spans="1:14" ht="15" hidden="1">
      <c r="A13" s="147"/>
      <c r="B13" s="300" t="s">
        <v>1253</v>
      </c>
      <c r="C13" s="164">
        <v>137</v>
      </c>
      <c r="D13" s="153">
        <v>20</v>
      </c>
      <c r="E13" s="154">
        <v>5563985</v>
      </c>
      <c r="F13" s="163">
        <v>286306</v>
      </c>
      <c r="G13" s="299">
        <f t="shared" si="0"/>
        <v>143153</v>
      </c>
      <c r="H13" s="147"/>
      <c r="I13" s="156">
        <v>878230</v>
      </c>
      <c r="J13" s="188">
        <v>98415.358800000002</v>
      </c>
      <c r="K13" s="157">
        <f>+J13*('Parametros Generales'!$C$27+$K$2)</f>
        <v>100816.69355472</v>
      </c>
      <c r="L13" s="147"/>
      <c r="M13" s="147"/>
      <c r="N13" s="147"/>
    </row>
    <row r="14" spans="1:14" ht="24" hidden="1">
      <c r="A14" s="147"/>
      <c r="B14" s="300" t="s">
        <v>1254</v>
      </c>
      <c r="C14" s="164">
        <v>137</v>
      </c>
      <c r="D14" s="153">
        <v>20</v>
      </c>
      <c r="E14" s="154">
        <v>5563985</v>
      </c>
      <c r="F14" s="163">
        <v>286306</v>
      </c>
      <c r="G14" s="299">
        <f t="shared" si="0"/>
        <v>143153</v>
      </c>
      <c r="H14" s="147"/>
      <c r="I14" s="156">
        <v>878230</v>
      </c>
      <c r="J14" s="188">
        <v>98415.358800000002</v>
      </c>
      <c r="K14" s="157">
        <f>+J14*('Parametros Generales'!$C$27+$K$2)</f>
        <v>100816.69355472</v>
      </c>
      <c r="L14" s="147"/>
      <c r="M14" s="147"/>
      <c r="N14" s="147"/>
    </row>
    <row r="15" spans="1:14" ht="15" hidden="1">
      <c r="A15" s="147"/>
      <c r="B15" s="300" t="s">
        <v>1255</v>
      </c>
      <c r="C15" s="1289">
        <v>1045</v>
      </c>
      <c r="D15" s="153">
        <v>15</v>
      </c>
      <c r="E15" s="154">
        <v>5639640</v>
      </c>
      <c r="F15" s="163">
        <v>286306</v>
      </c>
      <c r="G15" s="299">
        <f t="shared" si="0"/>
        <v>143153</v>
      </c>
      <c r="H15" s="147"/>
      <c r="I15" s="156">
        <v>942989</v>
      </c>
      <c r="J15" s="188">
        <v>98415.358800000002</v>
      </c>
      <c r="K15" s="157">
        <f>+J15*('Parametros Generales'!$C$27+$K$2)</f>
        <v>100816.69355472</v>
      </c>
      <c r="L15" s="147"/>
      <c r="M15" s="147"/>
      <c r="N15" s="147"/>
    </row>
    <row r="16" spans="1:14" ht="15" hidden="1">
      <c r="A16" s="147"/>
      <c r="B16" s="300" t="s">
        <v>1256</v>
      </c>
      <c r="C16" s="1289"/>
      <c r="D16" s="153">
        <v>13</v>
      </c>
      <c r="E16" s="154">
        <v>5234953</v>
      </c>
      <c r="F16" s="165">
        <v>286306</v>
      </c>
      <c r="G16" s="301">
        <f t="shared" si="0"/>
        <v>143153</v>
      </c>
      <c r="H16" s="147"/>
      <c r="I16" s="156">
        <v>942989</v>
      </c>
      <c r="J16" s="188">
        <v>98415.358800000002</v>
      </c>
      <c r="K16" s="157">
        <f>+J16*('Parametros Generales'!$C$27+$K$2)</f>
        <v>100816.69355472</v>
      </c>
      <c r="L16" s="147"/>
      <c r="M16" s="147"/>
      <c r="N16" s="147"/>
    </row>
    <row r="17" spans="1:14" ht="15" hidden="1">
      <c r="A17" s="147"/>
      <c r="B17" s="1288" t="s">
        <v>1257</v>
      </c>
      <c r="C17" s="1289">
        <v>42</v>
      </c>
      <c r="D17" s="153">
        <v>19</v>
      </c>
      <c r="E17" s="154">
        <v>5059792</v>
      </c>
      <c r="F17" s="155">
        <v>212236</v>
      </c>
      <c r="G17" s="302">
        <v>106118</v>
      </c>
      <c r="H17" s="147"/>
      <c r="I17" s="156">
        <v>973472</v>
      </c>
      <c r="J17" s="188">
        <v>98415.358800000002</v>
      </c>
      <c r="K17" s="157">
        <f>+J17*('Parametros Generales'!$C$27+$K$2)</f>
        <v>100816.69355472</v>
      </c>
      <c r="L17" s="147"/>
      <c r="M17" s="147"/>
      <c r="N17" s="147"/>
    </row>
    <row r="18" spans="1:14" ht="15" hidden="1">
      <c r="A18" s="147"/>
      <c r="B18" s="1288"/>
      <c r="C18" s="1289"/>
      <c r="D18" s="153">
        <v>18</v>
      </c>
      <c r="E18" s="167">
        <v>4698740</v>
      </c>
      <c r="F18" s="165">
        <v>212236</v>
      </c>
      <c r="G18" s="303">
        <f>+G17</f>
        <v>106118</v>
      </c>
      <c r="H18" s="147"/>
      <c r="I18" s="156">
        <v>973472</v>
      </c>
      <c r="J18" s="188">
        <v>98415.358800000002</v>
      </c>
      <c r="K18" s="157">
        <f>+J18*('Parametros Generales'!$C$27+$K$2)</f>
        <v>100816.69355472</v>
      </c>
      <c r="L18" s="147"/>
      <c r="M18" s="147"/>
      <c r="N18" s="147"/>
    </row>
    <row r="19" spans="1:14" ht="15" hidden="1">
      <c r="A19" s="147"/>
      <c r="B19" s="293" t="s">
        <v>1257</v>
      </c>
      <c r="C19" s="164">
        <v>42</v>
      </c>
      <c r="D19" s="153">
        <v>9</v>
      </c>
      <c r="E19" s="154">
        <v>3212352</v>
      </c>
      <c r="F19" s="161">
        <v>174729</v>
      </c>
      <c r="G19" s="304">
        <v>87365</v>
      </c>
      <c r="H19" s="147"/>
      <c r="I19" s="156">
        <v>973472</v>
      </c>
      <c r="J19" s="188">
        <v>98415.358800000002</v>
      </c>
      <c r="K19" s="157">
        <f>+J19*('Parametros Generales'!$C$27+$K$2)</f>
        <v>100816.69355472</v>
      </c>
      <c r="L19" s="147"/>
      <c r="M19" s="147"/>
      <c r="N19" s="147"/>
    </row>
    <row r="20" spans="1:14" ht="15" hidden="1">
      <c r="A20" s="147"/>
      <c r="B20" s="1287" t="s">
        <v>1258</v>
      </c>
      <c r="C20" s="1285">
        <v>2028</v>
      </c>
      <c r="D20" s="170">
        <v>22</v>
      </c>
      <c r="E20" s="171">
        <v>4556261</v>
      </c>
      <c r="F20" s="172">
        <v>212236</v>
      </c>
      <c r="G20" s="298">
        <v>106118</v>
      </c>
      <c r="H20" s="147"/>
      <c r="I20" s="156">
        <v>994797</v>
      </c>
      <c r="J20" s="188">
        <v>98415.358800000002</v>
      </c>
      <c r="K20" s="157">
        <f>+J20*('Parametros Generales'!$C$27+$K$2)</f>
        <v>100816.69355472</v>
      </c>
      <c r="L20" s="147"/>
      <c r="M20" s="147"/>
      <c r="N20" s="147"/>
    </row>
    <row r="21" spans="1:14" ht="15" hidden="1">
      <c r="A21" s="147"/>
      <c r="B21" s="1281"/>
      <c r="C21" s="1285"/>
      <c r="D21" s="170">
        <v>19</v>
      </c>
      <c r="E21" s="171">
        <v>3692249</v>
      </c>
      <c r="F21" s="166">
        <v>174729</v>
      </c>
      <c r="G21" s="302">
        <v>87365</v>
      </c>
      <c r="H21" s="147"/>
      <c r="I21" s="156">
        <v>994797</v>
      </c>
      <c r="J21" s="188">
        <v>98415.358800000002</v>
      </c>
      <c r="K21" s="157">
        <f>+J21*('Parametros Generales'!$C$27+$K$2)</f>
        <v>100816.69355472</v>
      </c>
      <c r="L21" s="147"/>
      <c r="M21" s="147"/>
      <c r="N21" s="147"/>
    </row>
    <row r="22" spans="1:14" ht="15" hidden="1">
      <c r="A22" s="147"/>
      <c r="B22" s="1281"/>
      <c r="C22" s="1285"/>
      <c r="D22" s="170">
        <v>17</v>
      </c>
      <c r="E22" s="171">
        <v>3187300</v>
      </c>
      <c r="F22" s="173">
        <v>174729</v>
      </c>
      <c r="G22" s="305">
        <f>+G21</f>
        <v>87365</v>
      </c>
      <c r="H22" s="147"/>
      <c r="I22" s="156">
        <v>1025719</v>
      </c>
      <c r="J22" s="188">
        <v>98415.358800000002</v>
      </c>
      <c r="K22" s="157">
        <f>+J22*('Parametros Generales'!$C$27+$K$2)</f>
        <v>100816.69355472</v>
      </c>
      <c r="L22" s="147"/>
      <c r="M22" s="147"/>
      <c r="N22" s="147"/>
    </row>
    <row r="23" spans="1:14" ht="15" hidden="1">
      <c r="A23" s="147"/>
      <c r="B23" s="1281"/>
      <c r="C23" s="1285"/>
      <c r="D23" s="170">
        <v>15</v>
      </c>
      <c r="E23" s="171">
        <v>2810639</v>
      </c>
      <c r="F23" s="173">
        <v>174729</v>
      </c>
      <c r="G23" s="305">
        <f>+G22</f>
        <v>87365</v>
      </c>
      <c r="H23" s="147"/>
      <c r="I23" s="156">
        <v>1025719</v>
      </c>
      <c r="J23" s="188">
        <v>98415.358800000002</v>
      </c>
      <c r="K23" s="157">
        <f>+J23*('Parametros Generales'!$C$27+$K$2)</f>
        <v>100816.69355472</v>
      </c>
      <c r="L23" s="147"/>
      <c r="M23" s="147"/>
      <c r="N23" s="147"/>
    </row>
    <row r="24" spans="1:14" ht="15" hidden="1">
      <c r="A24" s="147"/>
      <c r="B24" s="1281"/>
      <c r="C24" s="1285"/>
      <c r="D24" s="170">
        <v>14</v>
      </c>
      <c r="E24" s="171">
        <v>2542174</v>
      </c>
      <c r="F24" s="168">
        <v>174729</v>
      </c>
      <c r="G24" s="303">
        <f>+G23</f>
        <v>87365</v>
      </c>
      <c r="H24" s="147"/>
      <c r="I24" s="156">
        <v>1025719</v>
      </c>
      <c r="J24" s="188">
        <v>98415.358800000002</v>
      </c>
      <c r="K24" s="157">
        <f>+J24*('Parametros Generales'!$C$27+$K$2)</f>
        <v>100816.69355472</v>
      </c>
      <c r="L24" s="147"/>
      <c r="M24" s="147"/>
      <c r="N24" s="147"/>
    </row>
    <row r="25" spans="1:14" ht="15" hidden="1">
      <c r="A25" s="147"/>
      <c r="B25" s="1281"/>
      <c r="C25" s="1285"/>
      <c r="D25" s="170">
        <v>13</v>
      </c>
      <c r="E25" s="174">
        <v>2375553</v>
      </c>
      <c r="F25" s="166">
        <v>154805</v>
      </c>
      <c r="G25" s="294">
        <v>77403</v>
      </c>
      <c r="H25" s="147"/>
      <c r="I25" s="156">
        <v>1025719</v>
      </c>
      <c r="J25" s="188">
        <v>98415.358800000002</v>
      </c>
      <c r="K25" s="157">
        <f>+J25*('Parametros Generales'!$C$27+$K$2)</f>
        <v>100816.69355472</v>
      </c>
      <c r="L25" s="147"/>
      <c r="M25" s="147"/>
      <c r="N25" s="147"/>
    </row>
    <row r="26" spans="1:14" ht="15" hidden="1">
      <c r="A26" s="147"/>
      <c r="B26" s="1287" t="s">
        <v>1259</v>
      </c>
      <c r="C26" s="1285">
        <v>2044</v>
      </c>
      <c r="D26" s="175">
        <v>11</v>
      </c>
      <c r="E26" s="154">
        <v>2066612</v>
      </c>
      <c r="F26" s="168">
        <v>154805</v>
      </c>
      <c r="G26" s="301">
        <f>+G25</f>
        <v>77403</v>
      </c>
      <c r="H26" s="147"/>
      <c r="I26" s="156">
        <v>1025719</v>
      </c>
      <c r="J26" s="188">
        <v>98415.358800000002</v>
      </c>
      <c r="K26" s="157">
        <f>+J26*('Parametros Generales'!$C$27+$K$2)</f>
        <v>100816.69355472</v>
      </c>
      <c r="L26" s="147"/>
      <c r="M26" s="147"/>
      <c r="N26" s="147"/>
    </row>
    <row r="27" spans="1:14" ht="15" hidden="1">
      <c r="A27" s="147"/>
      <c r="B27" s="1287"/>
      <c r="C27" s="1285"/>
      <c r="D27" s="175">
        <v>9</v>
      </c>
      <c r="E27" s="154">
        <v>1917684</v>
      </c>
      <c r="F27" s="155">
        <v>134811</v>
      </c>
      <c r="G27" s="294">
        <v>67406</v>
      </c>
      <c r="H27" s="147"/>
      <c r="I27" s="156">
        <v>1071324</v>
      </c>
      <c r="J27" s="188">
        <v>98415.358800000002</v>
      </c>
      <c r="K27" s="157">
        <f>+J27*('Parametros Generales'!$C$27+$K$2)</f>
        <v>100816.69355472</v>
      </c>
      <c r="L27" s="147"/>
      <c r="M27" s="147"/>
      <c r="N27" s="147"/>
    </row>
    <row r="28" spans="1:14" ht="15" hidden="1">
      <c r="A28" s="147"/>
      <c r="B28" s="1287"/>
      <c r="C28" s="1285"/>
      <c r="D28" s="175">
        <v>7</v>
      </c>
      <c r="E28" s="154">
        <v>1751460</v>
      </c>
      <c r="F28" s="163">
        <v>134811</v>
      </c>
      <c r="G28" s="299">
        <f>+G27</f>
        <v>67406</v>
      </c>
      <c r="H28" s="147"/>
      <c r="I28" s="156">
        <v>1071324</v>
      </c>
      <c r="J28" s="188">
        <v>98415.358800000002</v>
      </c>
      <c r="K28" s="157">
        <f>+J28*('Parametros Generales'!$C$27+$K$2)</f>
        <v>100816.69355472</v>
      </c>
      <c r="L28" s="147"/>
      <c r="M28" s="147"/>
      <c r="N28" s="147"/>
    </row>
    <row r="29" spans="1:14" ht="15" hidden="1">
      <c r="A29" s="147"/>
      <c r="B29" s="1287"/>
      <c r="C29" s="1285"/>
      <c r="D29" s="175">
        <v>6</v>
      </c>
      <c r="E29" s="154">
        <v>1668843</v>
      </c>
      <c r="F29" s="165">
        <v>134811</v>
      </c>
      <c r="G29" s="301">
        <f>+G28</f>
        <v>67406</v>
      </c>
      <c r="H29" s="147"/>
      <c r="I29" s="156">
        <v>1093949</v>
      </c>
      <c r="J29" s="188">
        <v>98415.358800000002</v>
      </c>
      <c r="K29" s="157">
        <f>+J29*('Parametros Generales'!$C$27+$K$2)</f>
        <v>100816.69355472</v>
      </c>
      <c r="L29" s="147"/>
      <c r="M29" s="147"/>
      <c r="N29" s="147"/>
    </row>
    <row r="30" spans="1:14" ht="15" hidden="1">
      <c r="A30" s="147"/>
      <c r="B30" s="1287"/>
      <c r="C30" s="1285"/>
      <c r="D30" s="175">
        <v>5</v>
      </c>
      <c r="E30" s="167">
        <v>1612686</v>
      </c>
      <c r="F30" s="161">
        <v>115856</v>
      </c>
      <c r="G30" s="306">
        <v>57928</v>
      </c>
      <c r="H30" s="147"/>
      <c r="I30" s="156">
        <v>1121085</v>
      </c>
      <c r="J30" s="188">
        <v>98415.358800000002</v>
      </c>
      <c r="K30" s="157">
        <f>+J30*('Parametros Generales'!$C$27+$K$2)</f>
        <v>100816.69355472</v>
      </c>
      <c r="L30" s="147"/>
      <c r="M30" s="147"/>
      <c r="N30" s="147"/>
    </row>
    <row r="31" spans="1:14" ht="15" hidden="1">
      <c r="A31" s="147"/>
      <c r="B31" s="1288" t="s">
        <v>1260</v>
      </c>
      <c r="C31" s="1289">
        <v>2125</v>
      </c>
      <c r="D31" s="153">
        <v>17</v>
      </c>
      <c r="E31" s="171">
        <v>3187300</v>
      </c>
      <c r="F31" s="155">
        <v>174729</v>
      </c>
      <c r="G31" s="294">
        <v>87365</v>
      </c>
      <c r="H31" s="147"/>
      <c r="I31" s="156">
        <v>1121085</v>
      </c>
      <c r="J31" s="188">
        <v>98415.358800000002</v>
      </c>
      <c r="K31" s="157">
        <f>+J31*('Parametros Generales'!$C$27+$K$2)</f>
        <v>100816.69355472</v>
      </c>
      <c r="L31" s="147"/>
      <c r="M31" s="147"/>
      <c r="N31" s="147"/>
    </row>
    <row r="32" spans="1:14" ht="15" hidden="1">
      <c r="A32" s="147"/>
      <c r="B32" s="1281"/>
      <c r="C32" s="1289"/>
      <c r="D32" s="153">
        <v>15</v>
      </c>
      <c r="E32" s="171">
        <v>2810639</v>
      </c>
      <c r="F32" s="165">
        <v>174729</v>
      </c>
      <c r="G32" s="301">
        <f>+G31</f>
        <v>87365</v>
      </c>
      <c r="H32" s="147"/>
      <c r="I32" s="156">
        <v>1181177</v>
      </c>
      <c r="J32" s="188">
        <v>98415.358800000002</v>
      </c>
      <c r="K32" s="157">
        <f>+J32*('Parametros Generales'!$C$27+$K$2)</f>
        <v>100816.69355472</v>
      </c>
      <c r="L32" s="147"/>
      <c r="M32" s="147"/>
      <c r="N32" s="147"/>
    </row>
    <row r="33" spans="1:14" ht="15" hidden="1">
      <c r="A33" s="147"/>
      <c r="B33" s="1281"/>
      <c r="C33" s="1289"/>
      <c r="D33" s="153">
        <v>13</v>
      </c>
      <c r="E33" s="171">
        <v>2375553</v>
      </c>
      <c r="F33" s="161">
        <v>154805</v>
      </c>
      <c r="G33" s="297">
        <v>77403</v>
      </c>
      <c r="H33" s="147"/>
      <c r="I33" s="156">
        <v>1181877</v>
      </c>
      <c r="J33" s="188">
        <v>98415.358800000002</v>
      </c>
      <c r="K33" s="157">
        <f>+J33*('Parametros Generales'!$C$27+$K$2)</f>
        <v>100816.69355472</v>
      </c>
      <c r="L33" s="147"/>
      <c r="M33" s="147"/>
      <c r="N33" s="147"/>
    </row>
    <row r="34" spans="1:14" ht="15" hidden="1">
      <c r="A34" s="147"/>
      <c r="B34" s="1281"/>
      <c r="C34" s="1289"/>
      <c r="D34" s="153">
        <v>9</v>
      </c>
      <c r="E34" s="154">
        <v>1917684</v>
      </c>
      <c r="F34" s="155">
        <v>134811</v>
      </c>
      <c r="G34" s="294">
        <v>67406</v>
      </c>
      <c r="H34" s="147"/>
      <c r="I34" s="156">
        <v>1185733</v>
      </c>
      <c r="J34" s="188">
        <v>98415.358800000002</v>
      </c>
      <c r="K34" s="157">
        <f>+J34*('Parametros Generales'!$C$27+$K$2)</f>
        <v>100816.69355472</v>
      </c>
      <c r="L34" s="147"/>
      <c r="M34" s="147"/>
      <c r="N34" s="147"/>
    </row>
    <row r="35" spans="1:14" ht="15" hidden="1">
      <c r="A35" s="147"/>
      <c r="B35" s="300" t="s">
        <v>1261</v>
      </c>
      <c r="C35" s="1285">
        <v>3124</v>
      </c>
      <c r="D35" s="175">
        <v>18</v>
      </c>
      <c r="E35" s="154">
        <v>1824462</v>
      </c>
      <c r="F35" s="163">
        <v>134811</v>
      </c>
      <c r="G35" s="299">
        <f>+G34</f>
        <v>67406</v>
      </c>
      <c r="H35" s="147"/>
      <c r="I35" s="156">
        <v>1185733</v>
      </c>
      <c r="J35" s="188">
        <v>98415.358800000002</v>
      </c>
      <c r="K35" s="157">
        <f>+J35*('Parametros Generales'!$C$27+$K$2)</f>
        <v>100816.69355472</v>
      </c>
      <c r="L35" s="147"/>
      <c r="M35" s="147"/>
      <c r="N35" s="147"/>
    </row>
    <row r="36" spans="1:14" ht="15" hidden="1">
      <c r="A36" s="147"/>
      <c r="B36" s="300" t="s">
        <v>1261</v>
      </c>
      <c r="C36" s="1285"/>
      <c r="D36" s="175">
        <v>16</v>
      </c>
      <c r="E36" s="154">
        <v>1635868</v>
      </c>
      <c r="F36" s="165">
        <v>134811</v>
      </c>
      <c r="G36" s="301">
        <f>+G35</f>
        <v>67406</v>
      </c>
      <c r="H36" s="147"/>
      <c r="I36" s="156">
        <v>1253275</v>
      </c>
      <c r="J36" s="188">
        <v>119412.77919999999</v>
      </c>
      <c r="K36" s="157">
        <f>+J36*('Parametros Generales'!$C$27+$K$2)</f>
        <v>122326.45101247999</v>
      </c>
      <c r="L36" s="147"/>
      <c r="M36" s="147"/>
      <c r="N36" s="147"/>
    </row>
    <row r="37" spans="1:14" ht="15" hidden="1">
      <c r="A37" s="147"/>
      <c r="B37" s="300" t="s">
        <v>1261</v>
      </c>
      <c r="C37" s="1285"/>
      <c r="D37" s="175">
        <v>15</v>
      </c>
      <c r="E37" s="154">
        <v>1447845</v>
      </c>
      <c r="F37" s="155">
        <v>115856</v>
      </c>
      <c r="G37" s="294">
        <v>57928</v>
      </c>
      <c r="H37" s="147"/>
      <c r="I37" s="156">
        <v>1311239</v>
      </c>
      <c r="J37" s="188">
        <v>119412.77919999999</v>
      </c>
      <c r="K37" s="157">
        <f>+J37*('Parametros Generales'!$C$27+$K$2)</f>
        <v>122326.45101247999</v>
      </c>
      <c r="L37" s="147"/>
      <c r="M37" s="147"/>
      <c r="N37" s="147"/>
    </row>
    <row r="38" spans="1:14" ht="15" hidden="1">
      <c r="A38" s="147"/>
      <c r="B38" s="300" t="s">
        <v>1261</v>
      </c>
      <c r="C38" s="1285"/>
      <c r="D38" s="175">
        <v>12</v>
      </c>
      <c r="E38" s="154">
        <v>1253275</v>
      </c>
      <c r="F38" s="165">
        <v>115856</v>
      </c>
      <c r="G38" s="301">
        <f>+G37</f>
        <v>57928</v>
      </c>
      <c r="H38" s="147"/>
      <c r="I38" s="156">
        <v>1336517</v>
      </c>
      <c r="J38" s="188">
        <v>119412.77919999999</v>
      </c>
      <c r="K38" s="157">
        <f>+J38*('Parametros Generales'!$C$27+$K$2)</f>
        <v>122326.45101247999</v>
      </c>
      <c r="L38" s="147"/>
      <c r="M38" s="147"/>
      <c r="N38" s="147"/>
    </row>
    <row r="39" spans="1:14" ht="15" hidden="1">
      <c r="A39" s="147"/>
      <c r="B39" s="300" t="s">
        <v>1261</v>
      </c>
      <c r="C39" s="1285"/>
      <c r="D39" s="175">
        <v>11</v>
      </c>
      <c r="E39" s="154">
        <v>1181877</v>
      </c>
      <c r="F39" s="166">
        <v>95484</v>
      </c>
      <c r="G39" s="302">
        <v>47742</v>
      </c>
      <c r="H39" s="147"/>
      <c r="I39" s="156">
        <v>1447845</v>
      </c>
      <c r="J39" s="188">
        <v>119412.77919999999</v>
      </c>
      <c r="K39" s="157">
        <f>+J39*('Parametros Generales'!$C$27+$K$2)</f>
        <v>122326.45101247999</v>
      </c>
      <c r="L39" s="147"/>
      <c r="M39" s="147"/>
      <c r="N39" s="147"/>
    </row>
    <row r="40" spans="1:14" ht="15" hidden="1">
      <c r="A40" s="147"/>
      <c r="B40" s="300" t="s">
        <v>1261</v>
      </c>
      <c r="C40" s="1285"/>
      <c r="D40" s="175">
        <v>10</v>
      </c>
      <c r="E40" s="154">
        <v>1121085</v>
      </c>
      <c r="F40" s="173">
        <v>95484</v>
      </c>
      <c r="G40" s="305">
        <f>+G39</f>
        <v>47742</v>
      </c>
      <c r="H40" s="147"/>
      <c r="I40" s="156">
        <v>1447845</v>
      </c>
      <c r="J40" s="188">
        <v>119412.77919999999</v>
      </c>
      <c r="K40" s="157">
        <f>+J40*('Parametros Generales'!$C$27+$K$2)</f>
        <v>122326.45101247999</v>
      </c>
      <c r="L40" s="147"/>
      <c r="M40" s="147"/>
      <c r="N40" s="147"/>
    </row>
    <row r="41" spans="1:14" ht="15" hidden="1">
      <c r="A41" s="147"/>
      <c r="B41" s="300" t="s">
        <v>1261</v>
      </c>
      <c r="C41" s="1285"/>
      <c r="D41" s="175">
        <v>9</v>
      </c>
      <c r="E41" s="154">
        <v>1071324</v>
      </c>
      <c r="F41" s="173">
        <v>95484</v>
      </c>
      <c r="G41" s="305">
        <f>+G40</f>
        <v>47742</v>
      </c>
      <c r="H41" s="147"/>
      <c r="I41" s="156">
        <v>1579181</v>
      </c>
      <c r="J41" s="188">
        <v>119412.77919999999</v>
      </c>
      <c r="K41" s="157">
        <f>+J41*('Parametros Generales'!$C$27+$K$2)</f>
        <v>122326.45101247999</v>
      </c>
      <c r="L41" s="147"/>
      <c r="M41" s="147"/>
      <c r="N41" s="147"/>
    </row>
    <row r="42" spans="1:14" ht="15" hidden="1">
      <c r="A42" s="147"/>
      <c r="B42" s="300" t="s">
        <v>1261</v>
      </c>
      <c r="C42" s="1285"/>
      <c r="D42" s="175">
        <v>8</v>
      </c>
      <c r="E42" s="154">
        <v>973472</v>
      </c>
      <c r="F42" s="168">
        <v>95484</v>
      </c>
      <c r="G42" s="303">
        <f>+G41</f>
        <v>47742</v>
      </c>
      <c r="H42" s="147"/>
      <c r="I42" s="156">
        <v>1612686</v>
      </c>
      <c r="J42" s="188">
        <v>119412.77919999999</v>
      </c>
      <c r="K42" s="157">
        <f>+J42*('Parametros Generales'!$C$27+$K$2)</f>
        <v>122326.45101247999</v>
      </c>
      <c r="L42" s="147"/>
      <c r="M42" s="147"/>
      <c r="N42" s="147"/>
    </row>
    <row r="43" spans="1:14" ht="15" hidden="1">
      <c r="A43" s="147"/>
      <c r="B43" s="1286" t="s">
        <v>1262</v>
      </c>
      <c r="C43" s="1285">
        <v>3132</v>
      </c>
      <c r="D43" s="175">
        <v>13</v>
      </c>
      <c r="E43" s="154">
        <v>1336517</v>
      </c>
      <c r="F43" s="161">
        <v>115856</v>
      </c>
      <c r="G43" s="297">
        <v>57928</v>
      </c>
      <c r="H43" s="147"/>
      <c r="I43" s="156">
        <v>1635868</v>
      </c>
      <c r="J43" s="188">
        <v>138949.69769999999</v>
      </c>
      <c r="K43" s="157">
        <f>+J43*('Parametros Generales'!$C$27+$K$2)</f>
        <v>142340.07032387998</v>
      </c>
      <c r="L43" s="147"/>
      <c r="M43" s="147"/>
      <c r="N43" s="147"/>
    </row>
    <row r="44" spans="1:14" ht="15" hidden="1">
      <c r="A44" s="147"/>
      <c r="B44" s="1281"/>
      <c r="C44" s="1285"/>
      <c r="D44" s="175">
        <v>11</v>
      </c>
      <c r="E44" s="154">
        <v>1181177</v>
      </c>
      <c r="F44" s="169">
        <v>95484</v>
      </c>
      <c r="G44" s="304">
        <v>47742</v>
      </c>
      <c r="H44" s="147"/>
      <c r="I44" s="156">
        <v>1668843</v>
      </c>
      <c r="J44" s="188">
        <v>138949.69769999999</v>
      </c>
      <c r="K44" s="157">
        <f>+J44*('Parametros Generales'!$C$27+$K$2)</f>
        <v>142340.07032387998</v>
      </c>
      <c r="L44" s="147"/>
      <c r="M44" s="147"/>
      <c r="N44" s="147"/>
    </row>
    <row r="45" spans="1:14" ht="15" hidden="1">
      <c r="A45" s="147"/>
      <c r="B45" s="1287" t="s">
        <v>1263</v>
      </c>
      <c r="C45" s="1285">
        <v>4210</v>
      </c>
      <c r="D45" s="175">
        <v>24</v>
      </c>
      <c r="E45" s="154">
        <v>1579181</v>
      </c>
      <c r="F45" s="155">
        <v>115856</v>
      </c>
      <c r="G45" s="294">
        <v>57928</v>
      </c>
      <c r="H45" s="147"/>
      <c r="I45" s="156">
        <v>1751460</v>
      </c>
      <c r="J45" s="188">
        <v>138949.69769999999</v>
      </c>
      <c r="K45" s="157">
        <f>+J45*('Parametros Generales'!$C$27+$K$2)</f>
        <v>142340.07032387998</v>
      </c>
      <c r="L45" s="147"/>
      <c r="M45" s="147"/>
      <c r="N45" s="147"/>
    </row>
    <row r="46" spans="1:14" ht="15" hidden="1">
      <c r="A46" s="147"/>
      <c r="B46" s="1281"/>
      <c r="C46" s="1285"/>
      <c r="D46" s="175">
        <v>22</v>
      </c>
      <c r="E46" s="154">
        <v>1311239</v>
      </c>
      <c r="F46" s="165">
        <v>115856</v>
      </c>
      <c r="G46" s="301">
        <f>+G45</f>
        <v>57928</v>
      </c>
      <c r="H46" s="147"/>
      <c r="I46" s="156">
        <v>1824462</v>
      </c>
      <c r="J46" s="188">
        <v>138949.69769999999</v>
      </c>
      <c r="K46" s="157">
        <f>+J46*('Parametros Generales'!$C$27+$K$2)</f>
        <v>142340.07032387998</v>
      </c>
      <c r="L46" s="147"/>
      <c r="M46" s="147"/>
      <c r="N46" s="147"/>
    </row>
    <row r="47" spans="1:14" ht="15" hidden="1">
      <c r="A47" s="147"/>
      <c r="B47" s="1281"/>
      <c r="C47" s="1285"/>
      <c r="D47" s="175">
        <v>20</v>
      </c>
      <c r="E47" s="154">
        <v>1185733</v>
      </c>
      <c r="F47" s="155">
        <v>95484</v>
      </c>
      <c r="G47" s="294">
        <v>47742</v>
      </c>
      <c r="H47" s="147"/>
      <c r="I47" s="156">
        <v>1917684</v>
      </c>
      <c r="J47" s="188">
        <v>138949.69769999999</v>
      </c>
      <c r="K47" s="157">
        <f>+J47*('Parametros Generales'!$C$27+$K$2)</f>
        <v>142340.07032387998</v>
      </c>
      <c r="L47" s="147"/>
      <c r="M47" s="147"/>
      <c r="N47" s="147"/>
    </row>
    <row r="48" spans="1:14" ht="15" hidden="1">
      <c r="A48" s="147"/>
      <c r="B48" s="1281"/>
      <c r="C48" s="1285"/>
      <c r="D48" s="175">
        <v>18</v>
      </c>
      <c r="E48" s="154">
        <v>1121085</v>
      </c>
      <c r="F48" s="163">
        <v>95484</v>
      </c>
      <c r="G48" s="299">
        <f>+G47</f>
        <v>47742</v>
      </c>
      <c r="H48" s="147"/>
      <c r="I48" s="156">
        <v>1917684</v>
      </c>
      <c r="J48" s="188">
        <v>138949.69769999999</v>
      </c>
      <c r="K48" s="157">
        <f>+J48*('Parametros Generales'!$C$27+$K$2)</f>
        <v>142340.07032387998</v>
      </c>
      <c r="L48" s="147"/>
      <c r="M48" s="147"/>
      <c r="N48" s="147"/>
    </row>
    <row r="49" spans="1:14" ht="15" hidden="1">
      <c r="A49" s="147"/>
      <c r="B49" s="1281"/>
      <c r="C49" s="1285"/>
      <c r="D49" s="175">
        <v>17</v>
      </c>
      <c r="E49" s="154">
        <v>1093949</v>
      </c>
      <c r="F49" s="163">
        <v>95484</v>
      </c>
      <c r="G49" s="299">
        <f>+G48</f>
        <v>47742</v>
      </c>
      <c r="H49" s="147"/>
      <c r="I49" s="156">
        <v>2066612</v>
      </c>
      <c r="J49" s="188">
        <v>159557.5135</v>
      </c>
      <c r="K49" s="157">
        <f>+J49*('Parametros Generales'!$C$27+$K$2)</f>
        <v>163450.71682939999</v>
      </c>
      <c r="L49" s="147"/>
      <c r="M49" s="147"/>
      <c r="N49" s="147"/>
    </row>
    <row r="50" spans="1:14" ht="15" hidden="1">
      <c r="A50" s="147"/>
      <c r="B50" s="1281"/>
      <c r="C50" s="1285"/>
      <c r="D50" s="175">
        <v>15</v>
      </c>
      <c r="E50" s="154">
        <v>1025719</v>
      </c>
      <c r="F50" s="165">
        <v>95484</v>
      </c>
      <c r="G50" s="301">
        <f>+G49</f>
        <v>47742</v>
      </c>
      <c r="H50" s="147"/>
      <c r="I50" s="156">
        <v>2375553</v>
      </c>
      <c r="J50" s="188">
        <v>159557.5135</v>
      </c>
      <c r="K50" s="157">
        <f>+J50*('Parametros Generales'!$C$27+$K$2)</f>
        <v>163450.71682939999</v>
      </c>
      <c r="L50" s="147"/>
      <c r="M50" s="147"/>
      <c r="N50" s="147"/>
    </row>
    <row r="51" spans="1:14" ht="15" hidden="1">
      <c r="A51" s="147"/>
      <c r="B51" s="1287" t="s">
        <v>1264</v>
      </c>
      <c r="C51" s="1285">
        <v>4044</v>
      </c>
      <c r="D51" s="175">
        <v>23</v>
      </c>
      <c r="E51" s="154">
        <v>1447845</v>
      </c>
      <c r="F51" s="162">
        <v>115856</v>
      </c>
      <c r="G51" s="298">
        <v>57928</v>
      </c>
      <c r="H51" s="147"/>
      <c r="I51" s="156">
        <v>2375553</v>
      </c>
      <c r="J51" s="188">
        <v>159557.5135</v>
      </c>
      <c r="K51" s="157">
        <f>+J51*('Parametros Generales'!$C$27+$K$2)</f>
        <v>163450.71682939999</v>
      </c>
      <c r="L51" s="147"/>
      <c r="M51" s="147"/>
      <c r="N51" s="147"/>
    </row>
    <row r="52" spans="1:14" ht="15" hidden="1">
      <c r="A52" s="147"/>
      <c r="B52" s="1281"/>
      <c r="C52" s="1285"/>
      <c r="D52" s="175">
        <v>20</v>
      </c>
      <c r="E52" s="154">
        <v>1185733</v>
      </c>
      <c r="F52" s="155">
        <v>95484</v>
      </c>
      <c r="G52" s="294">
        <v>47742</v>
      </c>
      <c r="H52" s="147"/>
      <c r="I52" s="156">
        <v>2542174</v>
      </c>
      <c r="J52" s="188">
        <v>180093.18029999998</v>
      </c>
      <c r="K52" s="157">
        <f>+J52*('Parametros Generales'!$C$27+$K$2)</f>
        <v>184487.45389931998</v>
      </c>
      <c r="L52" s="147"/>
      <c r="M52" s="147"/>
      <c r="N52" s="147"/>
    </row>
    <row r="53" spans="1:14" ht="15" hidden="1">
      <c r="A53" s="147"/>
      <c r="B53" s="1281"/>
      <c r="C53" s="1285"/>
      <c r="D53" s="175">
        <v>16</v>
      </c>
      <c r="E53" s="154">
        <v>1071324</v>
      </c>
      <c r="F53" s="176">
        <v>95484</v>
      </c>
      <c r="G53" s="307">
        <f t="shared" ref="G53:G63" si="1">+G52</f>
        <v>47742</v>
      </c>
      <c r="H53" s="147"/>
      <c r="I53" s="156">
        <v>2810639</v>
      </c>
      <c r="J53" s="188">
        <v>180093.18029999998</v>
      </c>
      <c r="K53" s="157">
        <f>+J53*('Parametros Generales'!$C$27+$K$2)</f>
        <v>184487.45389931998</v>
      </c>
      <c r="L53" s="147"/>
      <c r="M53" s="147"/>
      <c r="N53" s="147"/>
    </row>
    <row r="54" spans="1:14" ht="15" hidden="1">
      <c r="A54" s="147"/>
      <c r="B54" s="1281"/>
      <c r="C54" s="1285"/>
      <c r="D54" s="175">
        <v>15</v>
      </c>
      <c r="E54" s="154">
        <v>1025719</v>
      </c>
      <c r="F54" s="176">
        <v>95484</v>
      </c>
      <c r="G54" s="307">
        <f t="shared" si="1"/>
        <v>47742</v>
      </c>
      <c r="H54" s="147"/>
      <c r="I54" s="156">
        <v>2810639</v>
      </c>
      <c r="J54" s="188">
        <v>180093.18029999998</v>
      </c>
      <c r="K54" s="157">
        <f>+J54*('Parametros Generales'!$C$27+$K$2)</f>
        <v>184487.45389931998</v>
      </c>
      <c r="L54" s="147"/>
      <c r="M54" s="147"/>
      <c r="N54" s="147"/>
    </row>
    <row r="55" spans="1:14" ht="15" hidden="1">
      <c r="A55" s="147"/>
      <c r="B55" s="1281"/>
      <c r="C55" s="1285"/>
      <c r="D55" s="175">
        <v>14</v>
      </c>
      <c r="E55" s="154">
        <v>994797</v>
      </c>
      <c r="F55" s="176">
        <v>95484</v>
      </c>
      <c r="G55" s="307">
        <f t="shared" si="1"/>
        <v>47742</v>
      </c>
      <c r="H55" s="147"/>
      <c r="I55" s="156">
        <v>3187300</v>
      </c>
      <c r="J55" s="188">
        <v>180093.18029999998</v>
      </c>
      <c r="K55" s="157">
        <f>+J55*('Parametros Generales'!$C$27+$K$2)</f>
        <v>184487.45389931998</v>
      </c>
      <c r="L55" s="147"/>
      <c r="M55" s="147"/>
      <c r="N55" s="147"/>
    </row>
    <row r="56" spans="1:14" ht="15" hidden="1">
      <c r="A56" s="147"/>
      <c r="B56" s="1281"/>
      <c r="C56" s="1285"/>
      <c r="D56" s="175">
        <v>13</v>
      </c>
      <c r="E56" s="154">
        <v>973472</v>
      </c>
      <c r="F56" s="176">
        <v>95484</v>
      </c>
      <c r="G56" s="307">
        <f t="shared" si="1"/>
        <v>47742</v>
      </c>
      <c r="H56" s="147"/>
      <c r="I56" s="156">
        <v>3187300</v>
      </c>
      <c r="J56" s="188">
        <v>180093.18029999998</v>
      </c>
      <c r="K56" s="157">
        <f>+J56*('Parametros Generales'!$C$27+$K$2)</f>
        <v>184487.45389931998</v>
      </c>
      <c r="L56" s="147"/>
      <c r="M56" s="147"/>
      <c r="N56" s="147"/>
    </row>
    <row r="57" spans="1:14" ht="15" hidden="1">
      <c r="A57" s="147"/>
      <c r="B57" s="1281"/>
      <c r="C57" s="1285"/>
      <c r="D57" s="175">
        <v>12</v>
      </c>
      <c r="E57" s="154">
        <v>942989</v>
      </c>
      <c r="F57" s="176">
        <v>95484</v>
      </c>
      <c r="G57" s="307">
        <f t="shared" si="1"/>
        <v>47742</v>
      </c>
      <c r="H57" s="147"/>
      <c r="I57" s="156">
        <v>3212352</v>
      </c>
      <c r="J57" s="188">
        <v>180093.18029999998</v>
      </c>
      <c r="K57" s="157">
        <f>+J57*('Parametros Generales'!$C$27+$K$2)</f>
        <v>184487.45389931998</v>
      </c>
      <c r="L57" s="147"/>
      <c r="M57" s="147"/>
      <c r="N57" s="147"/>
    </row>
    <row r="58" spans="1:14" ht="15" hidden="1">
      <c r="A58" s="147"/>
      <c r="B58" s="1281"/>
      <c r="C58" s="1285"/>
      <c r="D58" s="175">
        <v>11</v>
      </c>
      <c r="E58" s="154">
        <v>878230</v>
      </c>
      <c r="F58" s="176">
        <v>95484</v>
      </c>
      <c r="G58" s="307">
        <f t="shared" si="1"/>
        <v>47742</v>
      </c>
      <c r="H58" s="147"/>
      <c r="I58" s="156">
        <v>3692249</v>
      </c>
      <c r="J58" s="188">
        <v>180093.18029999998</v>
      </c>
      <c r="K58" s="157">
        <f>+J58*('Parametros Generales'!$C$27+$K$2)</f>
        <v>184487.45389931998</v>
      </c>
      <c r="L58" s="147"/>
      <c r="M58" s="147"/>
      <c r="N58" s="147"/>
    </row>
    <row r="59" spans="1:14" ht="15" hidden="1">
      <c r="A59" s="147"/>
      <c r="B59" s="1281"/>
      <c r="C59" s="1285"/>
      <c r="D59" s="175">
        <v>9</v>
      </c>
      <c r="E59" s="154">
        <v>740268</v>
      </c>
      <c r="F59" s="176">
        <v>95484</v>
      </c>
      <c r="G59" s="307">
        <f t="shared" si="1"/>
        <v>47742</v>
      </c>
      <c r="H59" s="147"/>
      <c r="I59" s="156">
        <v>4556261</v>
      </c>
      <c r="J59" s="188">
        <v>218751.6452</v>
      </c>
      <c r="K59" s="157">
        <f>+J59*('Parametros Generales'!$C$27+$K$2)</f>
        <v>224089.18534288</v>
      </c>
      <c r="L59" s="147"/>
      <c r="M59" s="147"/>
      <c r="N59" s="147"/>
    </row>
    <row r="60" spans="1:14" ht="15" hidden="1">
      <c r="A60" s="147"/>
      <c r="B60" s="300" t="s">
        <v>1265</v>
      </c>
      <c r="C60" s="1285">
        <v>4178</v>
      </c>
      <c r="D60" s="175">
        <v>14</v>
      </c>
      <c r="E60" s="154">
        <v>994797</v>
      </c>
      <c r="F60" s="176">
        <v>95484</v>
      </c>
      <c r="G60" s="307">
        <f t="shared" si="1"/>
        <v>47742</v>
      </c>
      <c r="H60" s="147"/>
      <c r="I60" s="156">
        <v>4698740</v>
      </c>
      <c r="J60" s="188">
        <v>218751.6452</v>
      </c>
      <c r="K60" s="157">
        <f>+J60*('Parametros Generales'!$C$27+$K$2)</f>
        <v>224089.18534288</v>
      </c>
      <c r="L60" s="147"/>
      <c r="M60" s="147"/>
      <c r="N60" s="147"/>
    </row>
    <row r="61" spans="1:14" ht="15" hidden="1">
      <c r="A61" s="147"/>
      <c r="B61" s="300" t="s">
        <v>1266</v>
      </c>
      <c r="C61" s="1285"/>
      <c r="D61" s="175">
        <v>12</v>
      </c>
      <c r="E61" s="154">
        <v>942989</v>
      </c>
      <c r="F61" s="176">
        <v>95484</v>
      </c>
      <c r="G61" s="307">
        <f t="shared" si="1"/>
        <v>47742</v>
      </c>
      <c r="H61" s="147"/>
      <c r="I61" s="156">
        <v>4698740</v>
      </c>
      <c r="J61" s="188">
        <v>218751.6452</v>
      </c>
      <c r="K61" s="157">
        <f>+J61*('Parametros Generales'!$C$27+$K$2)</f>
        <v>224089.18534288</v>
      </c>
      <c r="L61" s="147"/>
      <c r="M61" s="147"/>
      <c r="N61" s="147"/>
    </row>
    <row r="62" spans="1:14" ht="15" hidden="1">
      <c r="A62" s="147"/>
      <c r="B62" s="300" t="s">
        <v>1266</v>
      </c>
      <c r="C62" s="1285"/>
      <c r="D62" s="175">
        <v>10</v>
      </c>
      <c r="E62" s="154">
        <v>813640</v>
      </c>
      <c r="F62" s="176">
        <v>95484</v>
      </c>
      <c r="G62" s="307">
        <f t="shared" si="1"/>
        <v>47742</v>
      </c>
      <c r="H62" s="147"/>
      <c r="I62" s="156">
        <v>5059792</v>
      </c>
      <c r="J62" s="188">
        <v>218751.6452</v>
      </c>
      <c r="K62" s="157">
        <f>+J62*('Parametros Generales'!$C$27+$K$2)</f>
        <v>224089.18534288</v>
      </c>
      <c r="L62" s="147"/>
      <c r="M62" s="147"/>
      <c r="N62" s="147"/>
    </row>
    <row r="63" spans="1:14" ht="15" hidden="1">
      <c r="A63" s="147"/>
      <c r="B63" s="1286" t="s">
        <v>1267</v>
      </c>
      <c r="C63" s="1285">
        <v>4169</v>
      </c>
      <c r="D63" s="175">
        <v>15</v>
      </c>
      <c r="E63" s="154">
        <v>1025719</v>
      </c>
      <c r="F63" s="177">
        <v>95484</v>
      </c>
      <c r="G63" s="308">
        <f t="shared" si="1"/>
        <v>47742</v>
      </c>
      <c r="H63" s="147"/>
      <c r="I63" s="156">
        <v>5234953</v>
      </c>
      <c r="J63" s="188">
        <v>295095.59419999999</v>
      </c>
      <c r="K63" s="157">
        <f>+J63*('Parametros Generales'!$C$27+$K$2)</f>
        <v>302295.92669847998</v>
      </c>
      <c r="L63" s="147"/>
      <c r="M63" s="147"/>
      <c r="N63" s="147"/>
    </row>
    <row r="64" spans="1:14" ht="15" hidden="1">
      <c r="A64" s="147"/>
      <c r="B64" s="1281"/>
      <c r="C64" s="1285"/>
      <c r="D64" s="175">
        <v>9</v>
      </c>
      <c r="E64" s="154">
        <v>740268</v>
      </c>
      <c r="F64" s="155">
        <v>69864</v>
      </c>
      <c r="G64" s="294">
        <v>34932</v>
      </c>
      <c r="H64" s="147"/>
      <c r="I64" s="156">
        <v>5563985</v>
      </c>
      <c r="J64" s="188">
        <v>295095.59419999999</v>
      </c>
      <c r="K64" s="157">
        <f>+J64*('Parametros Generales'!$C$27+$K$2)</f>
        <v>302295.92669847998</v>
      </c>
      <c r="L64" s="147"/>
      <c r="M64" s="147"/>
      <c r="N64" s="147"/>
    </row>
    <row r="65" spans="1:14" ht="15" hidden="1">
      <c r="A65" s="147"/>
      <c r="B65" s="1281"/>
      <c r="C65" s="1285"/>
      <c r="D65" s="175">
        <v>7</v>
      </c>
      <c r="E65" s="154">
        <v>656750</v>
      </c>
      <c r="F65" s="165">
        <v>69864</v>
      </c>
      <c r="G65" s="301">
        <f>+G64</f>
        <v>34932</v>
      </c>
      <c r="H65" s="147"/>
      <c r="I65" s="156">
        <v>5563985</v>
      </c>
      <c r="J65" s="188">
        <v>295095.59419999999</v>
      </c>
      <c r="K65" s="157">
        <f>+J65*('Parametros Generales'!$C$27+$K$2)</f>
        <v>302295.92669847998</v>
      </c>
      <c r="L65" s="147"/>
      <c r="M65" s="147"/>
      <c r="N65" s="147"/>
    </row>
    <row r="66" spans="1:14" ht="15" hidden="1">
      <c r="A66" s="147"/>
      <c r="B66" s="300" t="s">
        <v>1268</v>
      </c>
      <c r="C66" s="1285">
        <v>4103</v>
      </c>
      <c r="D66" s="175">
        <v>15</v>
      </c>
      <c r="E66" s="154">
        <v>1025719</v>
      </c>
      <c r="F66" s="155">
        <v>95484</v>
      </c>
      <c r="G66" s="294">
        <v>47742</v>
      </c>
      <c r="H66" s="147"/>
      <c r="I66" s="156">
        <v>5563985</v>
      </c>
      <c r="J66" s="188">
        <v>295095.59419999999</v>
      </c>
      <c r="K66" s="157">
        <f>+J66*('Parametros Generales'!$C$27+$K$2)</f>
        <v>302295.92669847998</v>
      </c>
      <c r="L66" s="147"/>
      <c r="M66" s="147"/>
      <c r="N66" s="147"/>
    </row>
    <row r="67" spans="1:14" ht="15" hidden="1">
      <c r="A67" s="147"/>
      <c r="B67" s="300" t="s">
        <v>1268</v>
      </c>
      <c r="C67" s="1285"/>
      <c r="D67" s="175">
        <v>13</v>
      </c>
      <c r="E67" s="154">
        <v>973472</v>
      </c>
      <c r="F67" s="163">
        <v>95484</v>
      </c>
      <c r="G67" s="299">
        <f>+G66</f>
        <v>47742</v>
      </c>
      <c r="H67" s="147"/>
      <c r="I67" s="156">
        <v>5563985</v>
      </c>
      <c r="J67" s="188">
        <v>295095.59419999999</v>
      </c>
      <c r="K67" s="157">
        <f>+J67*('Parametros Generales'!$C$27+$K$2)</f>
        <v>302295.92669847998</v>
      </c>
      <c r="L67" s="147"/>
      <c r="M67" s="147"/>
      <c r="N67" s="147"/>
    </row>
    <row r="68" spans="1:14" ht="15" hidden="1">
      <c r="A68" s="147"/>
      <c r="B68" s="300" t="s">
        <v>1268</v>
      </c>
      <c r="C68" s="1285"/>
      <c r="D68" s="175">
        <v>11</v>
      </c>
      <c r="E68" s="154">
        <v>878230</v>
      </c>
      <c r="F68" s="165">
        <v>95484</v>
      </c>
      <c r="G68" s="301">
        <f>+G67</f>
        <v>47742</v>
      </c>
      <c r="H68" s="147"/>
      <c r="I68" s="156">
        <v>5639460</v>
      </c>
      <c r="J68" s="188">
        <v>295095.59419999999</v>
      </c>
      <c r="K68" s="157">
        <f>+J68*('Parametros Generales'!$C$27+$K$2)</f>
        <v>302295.92669847998</v>
      </c>
      <c r="L68" s="147"/>
      <c r="M68" s="147"/>
      <c r="N68" s="147"/>
    </row>
    <row r="69" spans="1:14" ht="15" hidden="1">
      <c r="A69" s="147"/>
      <c r="B69" s="300" t="s">
        <v>1268</v>
      </c>
      <c r="C69" s="1285"/>
      <c r="D69" s="175">
        <v>9</v>
      </c>
      <c r="E69" s="154">
        <v>740268</v>
      </c>
      <c r="F69" s="161">
        <v>69864</v>
      </c>
      <c r="G69" s="297">
        <v>34932</v>
      </c>
      <c r="H69" s="147"/>
      <c r="I69" s="156">
        <v>5639640</v>
      </c>
      <c r="J69" s="188">
        <v>295095.59419999999</v>
      </c>
      <c r="K69" s="157">
        <f>+J69*('Parametros Generales'!$C$27+$K$2)</f>
        <v>302295.92669847998</v>
      </c>
      <c r="L69" s="147"/>
      <c r="M69" s="147"/>
      <c r="N69" s="147"/>
    </row>
    <row r="70" spans="1:14" ht="15" hidden="1">
      <c r="A70" s="147"/>
      <c r="B70" s="300" t="s">
        <v>1269</v>
      </c>
      <c r="C70" s="1285">
        <v>4065</v>
      </c>
      <c r="D70" s="175">
        <v>15</v>
      </c>
      <c r="E70" s="154">
        <v>1025719</v>
      </c>
      <c r="F70" s="155">
        <v>95484</v>
      </c>
      <c r="G70" s="294">
        <v>47742</v>
      </c>
      <c r="H70" s="147"/>
      <c r="I70" s="156">
        <v>6196765</v>
      </c>
      <c r="J70" s="188">
        <v>295095.59419999999</v>
      </c>
      <c r="K70" s="157">
        <f>+J70*('Parametros Generales'!$C$27+$K$2)</f>
        <v>302295.92669847998</v>
      </c>
      <c r="L70" s="147"/>
      <c r="M70" s="147"/>
      <c r="N70" s="147"/>
    </row>
    <row r="71" spans="1:14" ht="15" hidden="1">
      <c r="A71" s="147"/>
      <c r="B71" s="300" t="s">
        <v>1269</v>
      </c>
      <c r="C71" s="1285"/>
      <c r="D71" s="175">
        <v>11</v>
      </c>
      <c r="E71" s="154">
        <v>878230</v>
      </c>
      <c r="F71" s="165">
        <v>95484</v>
      </c>
      <c r="G71" s="301">
        <f>+G70</f>
        <v>47742</v>
      </c>
      <c r="H71" s="147"/>
      <c r="I71" s="156">
        <v>6854956</v>
      </c>
      <c r="J71" s="188">
        <v>383623.44789999997</v>
      </c>
      <c r="K71" s="157">
        <f>+J71*('Parametros Generales'!$C$27+$K$2)</f>
        <v>392983.86002875998</v>
      </c>
      <c r="L71" s="147"/>
      <c r="M71" s="147"/>
      <c r="N71" s="147"/>
    </row>
    <row r="72" spans="1:14" ht="15" hidden="1">
      <c r="A72" s="147"/>
      <c r="B72" s="300" t="s">
        <v>1269</v>
      </c>
      <c r="C72" s="1285"/>
      <c r="D72" s="175">
        <v>9</v>
      </c>
      <c r="E72" s="154">
        <v>740268</v>
      </c>
      <c r="F72" s="155">
        <v>69864</v>
      </c>
      <c r="G72" s="294">
        <v>34932</v>
      </c>
      <c r="H72" s="147"/>
      <c r="I72" s="156">
        <v>6854956</v>
      </c>
      <c r="J72" s="188">
        <v>383623.44789999997</v>
      </c>
      <c r="K72" s="157">
        <f>+J72*('Parametros Generales'!$C$27+$K$2)</f>
        <v>392983.86002875998</v>
      </c>
      <c r="L72" s="147"/>
      <c r="M72" s="147"/>
      <c r="N72" s="147"/>
    </row>
    <row r="73" spans="1:14" ht="15.75" hidden="1" thickBot="1">
      <c r="A73" s="147"/>
      <c r="B73" s="300" t="s">
        <v>1269</v>
      </c>
      <c r="C73" s="1285"/>
      <c r="D73" s="175">
        <v>7</v>
      </c>
      <c r="E73" s="154">
        <v>656750</v>
      </c>
      <c r="F73" s="165">
        <v>69864</v>
      </c>
      <c r="G73" s="301">
        <f>+G72</f>
        <v>34932</v>
      </c>
      <c r="H73" s="147"/>
      <c r="I73" s="178">
        <v>7975499</v>
      </c>
      <c r="J73" s="326">
        <v>383623.44789999997</v>
      </c>
      <c r="K73" s="179">
        <f>+J73*('Parametros Generales'!$C$27+$K$2)</f>
        <v>392983.86002875998</v>
      </c>
      <c r="L73" s="147"/>
      <c r="M73" s="147"/>
      <c r="N73" s="147"/>
    </row>
    <row r="74" spans="1:14" ht="15" hidden="1">
      <c r="A74" s="147"/>
      <c r="B74" s="1278" t="s">
        <v>1270</v>
      </c>
      <c r="C74" s="1279"/>
      <c r="D74" s="1279"/>
      <c r="E74" s="1279"/>
      <c r="F74" s="1279"/>
      <c r="G74" s="1280"/>
      <c r="H74" s="147"/>
      <c r="I74" s="147"/>
      <c r="J74" s="147"/>
      <c r="K74" s="147"/>
      <c r="L74" s="147"/>
      <c r="M74" s="147"/>
      <c r="N74" s="147"/>
    </row>
    <row r="75" spans="1:14" ht="15" hidden="1">
      <c r="A75" s="147"/>
      <c r="B75" s="1281"/>
      <c r="C75" s="1279"/>
      <c r="D75" s="1279"/>
      <c r="E75" s="1279"/>
      <c r="F75" s="1279"/>
      <c r="G75" s="1280"/>
      <c r="H75" s="147"/>
      <c r="I75" s="147"/>
      <c r="J75" s="147"/>
      <c r="K75" s="147"/>
      <c r="L75" s="147"/>
      <c r="M75" s="147"/>
      <c r="N75" s="147"/>
    </row>
    <row r="76" spans="1:14" ht="15" hidden="1">
      <c r="A76" s="147"/>
      <c r="B76" s="1281"/>
      <c r="C76" s="1279"/>
      <c r="D76" s="1279"/>
      <c r="E76" s="1279"/>
      <c r="F76" s="1279"/>
      <c r="G76" s="1280"/>
      <c r="H76" s="147"/>
      <c r="I76" s="147"/>
      <c r="J76" s="147"/>
      <c r="K76" s="147"/>
      <c r="L76" s="147"/>
      <c r="M76" s="147"/>
      <c r="N76" s="147"/>
    </row>
    <row r="77" spans="1:14" ht="15" hidden="1">
      <c r="A77" s="147"/>
      <c r="B77" s="1281"/>
      <c r="C77" s="1279"/>
      <c r="D77" s="1279"/>
      <c r="E77" s="1279"/>
      <c r="F77" s="1279"/>
      <c r="G77" s="1280"/>
      <c r="H77" s="147"/>
      <c r="I77" s="147"/>
      <c r="J77" s="147"/>
      <c r="K77" s="147"/>
      <c r="L77" s="147"/>
      <c r="M77" s="147"/>
      <c r="N77" s="147"/>
    </row>
    <row r="78" spans="1:14" ht="15.75" hidden="1" thickBot="1">
      <c r="A78" s="147"/>
      <c r="B78" s="1282"/>
      <c r="C78" s="1283"/>
      <c r="D78" s="1283"/>
      <c r="E78" s="1283"/>
      <c r="F78" s="1283"/>
      <c r="G78" s="1284"/>
      <c r="H78" s="147"/>
      <c r="I78" s="147"/>
      <c r="J78" s="147"/>
      <c r="K78" s="147"/>
      <c r="L78" s="147"/>
      <c r="M78" s="147"/>
      <c r="N78" s="147"/>
    </row>
    <row r="79" spans="1:14" ht="15.75" thickBot="1">
      <c r="A79" s="147"/>
      <c r="B79" s="180"/>
      <c r="C79" s="147"/>
      <c r="D79" s="147"/>
      <c r="E79" s="147"/>
      <c r="F79" s="147"/>
      <c r="G79" s="147"/>
      <c r="H79" s="147"/>
      <c r="I79" s="147"/>
      <c r="J79" s="147"/>
      <c r="K79" s="147"/>
      <c r="L79" s="147"/>
      <c r="M79" s="147"/>
      <c r="N79" s="147"/>
    </row>
    <row r="80" spans="1:14" ht="18.75" thickBot="1">
      <c r="A80" s="147"/>
      <c r="B80" s="1260" t="s">
        <v>1271</v>
      </c>
      <c r="C80" s="1261"/>
      <c r="D80" s="1261"/>
      <c r="E80" s="1261"/>
      <c r="F80" s="1261"/>
      <c r="G80" s="1261"/>
      <c r="H80" s="1261"/>
      <c r="I80" s="1261"/>
      <c r="J80" s="1262"/>
      <c r="K80" s="147"/>
      <c r="L80" s="147"/>
      <c r="M80" s="147"/>
      <c r="N80" s="147"/>
    </row>
    <row r="81" spans="1:14" ht="15.75" thickBot="1">
      <c r="A81" s="147"/>
      <c r="B81" s="147"/>
      <c r="C81" s="147"/>
      <c r="D81" s="147"/>
      <c r="E81" s="147"/>
      <c r="F81" s="147"/>
      <c r="G81" s="147"/>
      <c r="H81" s="147"/>
      <c r="I81" s="147"/>
      <c r="J81" s="318" t="s">
        <v>1317</v>
      </c>
      <c r="K81" s="147"/>
      <c r="L81" s="147"/>
      <c r="M81" s="147"/>
      <c r="N81" s="147"/>
    </row>
    <row r="82" spans="1:14" ht="15.75" thickBot="1">
      <c r="A82" s="147"/>
      <c r="B82" s="181">
        <v>1.4500000000000001E-2</v>
      </c>
      <c r="C82" s="1263" t="s">
        <v>1315</v>
      </c>
      <c r="D82" s="1264"/>
      <c r="E82" s="1264"/>
      <c r="F82" s="1265"/>
      <c r="G82" s="1269" t="s">
        <v>1316</v>
      </c>
      <c r="H82" s="1270"/>
      <c r="I82" s="1270"/>
      <c r="J82" s="1271"/>
      <c r="K82" s="147"/>
      <c r="L82" s="147"/>
      <c r="M82" s="147"/>
      <c r="N82" s="147"/>
    </row>
    <row r="83" spans="1:14" ht="15.75" thickBot="1">
      <c r="A83" s="147"/>
      <c r="B83" s="182" t="s">
        <v>1273</v>
      </c>
      <c r="C83" s="1266"/>
      <c r="D83" s="1267"/>
      <c r="E83" s="1267"/>
      <c r="F83" s="1268"/>
      <c r="G83" s="364">
        <v>0</v>
      </c>
      <c r="H83" s="365">
        <v>0.5</v>
      </c>
      <c r="I83" s="365">
        <v>1.5</v>
      </c>
      <c r="J83" s="366">
        <v>2.5</v>
      </c>
      <c r="K83" s="147"/>
      <c r="L83" s="147"/>
      <c r="M83" s="147"/>
      <c r="N83" s="147"/>
    </row>
    <row r="84" spans="1:14" ht="18.75">
      <c r="A84" s="147"/>
      <c r="B84" s="183" t="s">
        <v>1274</v>
      </c>
      <c r="C84" s="358" t="str">
        <f>+'Componentes T.H.'!B9</f>
        <v xml:space="preserve">Promotor de Derechos </v>
      </c>
      <c r="D84" s="359"/>
      <c r="E84" s="360"/>
      <c r="F84" s="368">
        <f>+VLOOKUP(C84,'Componentes T.H.'!$B$6:$V$21,'Componentes T.H.'!$Q$1,0)</f>
        <v>1003701.4142</v>
      </c>
      <c r="G84" s="361">
        <f t="shared" ref="G84:J86" si="2">+IFERROR(VLOOKUP($F84,$I$4:$K$73,3,TRUE)*G$83,0)</f>
        <v>0</v>
      </c>
      <c r="H84" s="362">
        <f t="shared" si="2"/>
        <v>50408.346777359999</v>
      </c>
      <c r="I84" s="362">
        <f t="shared" si="2"/>
        <v>151225.04033207998</v>
      </c>
      <c r="J84" s="363">
        <f t="shared" si="2"/>
        <v>252041.73388680001</v>
      </c>
      <c r="K84" s="147"/>
      <c r="L84" s="147"/>
      <c r="M84" s="147"/>
      <c r="N84" s="147"/>
    </row>
    <row r="85" spans="1:14" ht="18.75">
      <c r="A85" s="147"/>
      <c r="B85" s="183"/>
      <c r="C85" s="321" t="str">
        <f>+'Componentes T.H.'!B8</f>
        <v>Coordinador Metodológico</v>
      </c>
      <c r="D85" s="184"/>
      <c r="E85" s="185"/>
      <c r="F85" s="369">
        <f>+VLOOKUP(C85,'Componentes T.H.'!$B$6:$V$21,'Componentes T.H.'!$Q$1,0)</f>
        <v>1998209.5068666667</v>
      </c>
      <c r="G85" s="327">
        <f t="shared" si="2"/>
        <v>0</v>
      </c>
      <c r="H85" s="186">
        <f t="shared" si="2"/>
        <v>71170.035161939988</v>
      </c>
      <c r="I85" s="186">
        <f t="shared" si="2"/>
        <v>213510.10548581998</v>
      </c>
      <c r="J85" s="322">
        <f t="shared" si="2"/>
        <v>355850.17580969993</v>
      </c>
      <c r="K85" s="147"/>
      <c r="L85" s="147"/>
      <c r="M85" s="147"/>
      <c r="N85" s="147"/>
    </row>
    <row r="86" spans="1:14" ht="19.5" thickBot="1">
      <c r="A86" s="147"/>
      <c r="B86" s="4" t="s">
        <v>2343</v>
      </c>
      <c r="C86" s="332"/>
      <c r="D86" s="333"/>
      <c r="E86" s="334"/>
      <c r="F86" s="369">
        <f>+IFERROR(VLOOKUP(C86,'Componentes T.H.'!$B$6:$V$21,'Componentes T.H.'!$Q$1,0),0)</f>
        <v>0</v>
      </c>
      <c r="G86" s="335">
        <f t="shared" si="2"/>
        <v>0</v>
      </c>
      <c r="H86" s="336">
        <f t="shared" si="2"/>
        <v>0</v>
      </c>
      <c r="I86" s="336">
        <f t="shared" si="2"/>
        <v>0</v>
      </c>
      <c r="J86" s="337">
        <f t="shared" si="2"/>
        <v>0</v>
      </c>
      <c r="K86" s="147"/>
      <c r="L86" s="147"/>
      <c r="M86" s="147"/>
      <c r="N86" s="147"/>
    </row>
    <row r="87" spans="1:14" ht="30.75" thickBot="1">
      <c r="A87" s="147"/>
      <c r="B87" s="346" t="s">
        <v>1275</v>
      </c>
      <c r="C87" s="347" t="s">
        <v>1276</v>
      </c>
      <c r="D87" s="348" t="s">
        <v>1277</v>
      </c>
      <c r="E87" s="348" t="s">
        <v>1278</v>
      </c>
      <c r="F87" s="349" t="s">
        <v>1279</v>
      </c>
      <c r="G87" s="350" t="s">
        <v>1276</v>
      </c>
      <c r="H87" s="348" t="s">
        <v>1277</v>
      </c>
      <c r="I87" s="348" t="s">
        <v>1278</v>
      </c>
      <c r="J87" s="349" t="s">
        <v>1279</v>
      </c>
      <c r="K87" s="351" t="s">
        <v>1319</v>
      </c>
      <c r="L87" s="351" t="s">
        <v>1321</v>
      </c>
      <c r="M87" s="147"/>
      <c r="N87" s="147"/>
    </row>
    <row r="88" spans="1:14" ht="15">
      <c r="A88" s="147"/>
      <c r="B88" s="343" t="s">
        <v>1185</v>
      </c>
      <c r="C88" s="338">
        <f>+C125*('Parametros Generales'!$C$30+$B$82)</f>
        <v>4378.2836717514174</v>
      </c>
      <c r="D88" s="339">
        <f>+D125*('Parametros Generales'!$C$30+$B$82)</f>
        <v>364882.35400057031</v>
      </c>
      <c r="E88" s="339">
        <f>+E125*('Parametros Generales'!$C$30+$B$82)</f>
        <v>1094644.7546058367</v>
      </c>
      <c r="F88" s="340">
        <f>+F125*('Parametros Generales'!$C$30+$B$82)</f>
        <v>2174462.1833225167</v>
      </c>
      <c r="G88" s="341">
        <f t="shared" ref="G88:G120" si="3">+H$4*(1+$G$83)</f>
        <v>0</v>
      </c>
      <c r="H88" s="342">
        <f>+$H$84</f>
        <v>50408.346777359999</v>
      </c>
      <c r="I88" s="342">
        <f t="shared" ref="I88:I120" si="4">+$I$84</f>
        <v>151225.04033207998</v>
      </c>
      <c r="J88" s="152">
        <f t="shared" ref="J88:J120" si="5">+$J$84</f>
        <v>252041.73388680001</v>
      </c>
      <c r="K88" s="355">
        <v>113</v>
      </c>
      <c r="L88" s="355">
        <f t="shared" ref="L88:L120" si="6">+K88*(1+$K$2)</f>
        <v>115.7572</v>
      </c>
      <c r="M88" s="147"/>
      <c r="N88" s="147"/>
    </row>
    <row r="89" spans="1:14" ht="15">
      <c r="A89" s="147"/>
      <c r="B89" s="344" t="s">
        <v>761</v>
      </c>
      <c r="C89" s="323">
        <f>+C126*('Parametros Generales'!$C$30+$B$82)</f>
        <v>16877.447123597231</v>
      </c>
      <c r="D89" s="187">
        <f>+D126*('Parametros Generales'!$C$30+$B$82)</f>
        <v>21892.572056694313</v>
      </c>
      <c r="E89" s="187">
        <f>+E126*('Parametros Generales'!$C$30+$B$82)</f>
        <v>74660.408309280945</v>
      </c>
      <c r="F89" s="330">
        <f>+F126*('Parametros Generales'!$C$30+$B$82)</f>
        <v>88897.0408545807</v>
      </c>
      <c r="G89" s="328">
        <f t="shared" si="3"/>
        <v>0</v>
      </c>
      <c r="H89" s="188">
        <f t="shared" ref="H89:H120" si="7">+$H$84</f>
        <v>50408.346777359999</v>
      </c>
      <c r="I89" s="188">
        <f t="shared" si="4"/>
        <v>151225.04033207998</v>
      </c>
      <c r="J89" s="157">
        <f t="shared" si="5"/>
        <v>252041.73388680001</v>
      </c>
      <c r="K89" s="356">
        <v>57</v>
      </c>
      <c r="L89" s="356">
        <f t="shared" si="6"/>
        <v>58.390799999999999</v>
      </c>
      <c r="M89" s="147"/>
      <c r="N89" s="147"/>
    </row>
    <row r="90" spans="1:14" ht="15">
      <c r="A90" s="147"/>
      <c r="B90" s="344" t="s">
        <v>1171</v>
      </c>
      <c r="C90" s="323">
        <f>+C127*('Parametros Generales'!$C$30+$B$82)</f>
        <v>4378.2836717514174</v>
      </c>
      <c r="D90" s="187">
        <f>+D127*('Parametros Generales'!$C$30+$B$82)</f>
        <v>364882.35400057031</v>
      </c>
      <c r="E90" s="187">
        <f>+E127*('Parametros Generales'!$C$30+$B$82)</f>
        <v>1094644.7546058367</v>
      </c>
      <c r="F90" s="330">
        <f>+F127*('Parametros Generales'!$C$30+$B$82)</f>
        <v>2174462.1833225167</v>
      </c>
      <c r="G90" s="328">
        <f t="shared" si="3"/>
        <v>0</v>
      </c>
      <c r="H90" s="188">
        <f t="shared" si="7"/>
        <v>50408.346777359999</v>
      </c>
      <c r="I90" s="188">
        <f t="shared" si="4"/>
        <v>151225.04033207998</v>
      </c>
      <c r="J90" s="157">
        <f t="shared" si="5"/>
        <v>252041.73388680001</v>
      </c>
      <c r="K90" s="356">
        <v>113</v>
      </c>
      <c r="L90" s="356">
        <f t="shared" si="6"/>
        <v>115.7572</v>
      </c>
      <c r="M90" s="147"/>
      <c r="N90" s="147"/>
    </row>
    <row r="91" spans="1:14" ht="15">
      <c r="A91" s="147"/>
      <c r="B91" s="344" t="s">
        <v>805</v>
      </c>
      <c r="C91" s="323">
        <f>+C128*('Parametros Generales'!$C$30+$B$82)</f>
        <v>11676.576822607669</v>
      </c>
      <c r="D91" s="187">
        <f>+D128*('Parametros Generales'!$C$30+$B$82)</f>
        <v>29189.711509613338</v>
      </c>
      <c r="E91" s="187">
        <f>+E128*('Parametros Generales'!$C$30+$B$82)</f>
        <v>43785.144113388626</v>
      </c>
      <c r="F91" s="330">
        <f>+F128*('Parametros Generales'!$C$30+$B$82)</f>
        <v>58380.576717163902</v>
      </c>
      <c r="G91" s="328">
        <f t="shared" si="3"/>
        <v>0</v>
      </c>
      <c r="H91" s="188">
        <f t="shared" si="7"/>
        <v>50408.346777359999</v>
      </c>
      <c r="I91" s="188">
        <f t="shared" si="4"/>
        <v>151225.04033207998</v>
      </c>
      <c r="J91" s="157">
        <f t="shared" si="5"/>
        <v>252041.73388680001</v>
      </c>
      <c r="K91" s="356">
        <v>57</v>
      </c>
      <c r="L91" s="356">
        <f t="shared" si="6"/>
        <v>58.390799999999999</v>
      </c>
      <c r="M91" s="147"/>
      <c r="N91" s="147"/>
    </row>
    <row r="92" spans="1:14" ht="15">
      <c r="A92" s="147"/>
      <c r="B92" s="344" t="s">
        <v>1280</v>
      </c>
      <c r="C92" s="323">
        <f>+C129*('Parametros Generales'!$C$30+$B$82)</f>
        <v>16877.447123597231</v>
      </c>
      <c r="D92" s="187">
        <f>+D129*('Parametros Generales'!$C$30+$B$82)</f>
        <v>21892.572056694313</v>
      </c>
      <c r="E92" s="187">
        <f>+E129*('Parametros Generales'!$C$30+$B$82)</f>
        <v>0</v>
      </c>
      <c r="F92" s="330">
        <f>+F129*('Parametros Generales'!$C$30+$B$82)</f>
        <v>0</v>
      </c>
      <c r="G92" s="328">
        <f t="shared" si="3"/>
        <v>0</v>
      </c>
      <c r="H92" s="188">
        <f t="shared" si="7"/>
        <v>50408.346777359999</v>
      </c>
      <c r="I92" s="188">
        <f t="shared" si="4"/>
        <v>151225.04033207998</v>
      </c>
      <c r="J92" s="157">
        <f t="shared" si="5"/>
        <v>252041.73388680001</v>
      </c>
      <c r="K92" s="356">
        <v>57</v>
      </c>
      <c r="L92" s="356">
        <f t="shared" si="6"/>
        <v>58.390799999999999</v>
      </c>
      <c r="M92" s="147"/>
      <c r="N92" s="147"/>
    </row>
    <row r="93" spans="1:14" ht="15">
      <c r="A93" s="147"/>
      <c r="B93" s="344" t="s">
        <v>663</v>
      </c>
      <c r="C93" s="323">
        <f>+C130*('Parametros Generales'!$C$30+$B$82)</f>
        <v>11676.576822607669</v>
      </c>
      <c r="D93" s="187">
        <f>+D130*('Parametros Generales'!$C$30+$B$82)</f>
        <v>29189.711509613338</v>
      </c>
      <c r="E93" s="187">
        <f>+E130*('Parametros Generales'!$C$30+$B$82)</f>
        <v>43786.297811325843</v>
      </c>
      <c r="F93" s="330">
        <f>+F130*('Parametros Generales'!$C$30+$B$82)</f>
        <v>58380.576717163902</v>
      </c>
      <c r="G93" s="328">
        <f t="shared" si="3"/>
        <v>0</v>
      </c>
      <c r="H93" s="188">
        <f t="shared" si="7"/>
        <v>50408.346777359999</v>
      </c>
      <c r="I93" s="188">
        <f t="shared" si="4"/>
        <v>151225.04033207998</v>
      </c>
      <c r="J93" s="157">
        <f t="shared" si="5"/>
        <v>252041.73388680001</v>
      </c>
      <c r="K93" s="356">
        <v>57</v>
      </c>
      <c r="L93" s="356">
        <f t="shared" si="6"/>
        <v>58.390799999999999</v>
      </c>
      <c r="M93" s="147"/>
      <c r="N93" s="147"/>
    </row>
    <row r="94" spans="1:14" ht="15">
      <c r="A94" s="147"/>
      <c r="B94" s="344" t="s">
        <v>822</v>
      </c>
      <c r="C94" s="323">
        <f>+C131*('Parametros Generales'!$C$30+$B$82)</f>
        <v>8531.5962457448568</v>
      </c>
      <c r="D94" s="187">
        <f>+D131*('Parametros Generales'!$C$30+$B$82)</f>
        <v>58358.656456356715</v>
      </c>
      <c r="E94" s="187">
        <f>+E131*('Parametros Generales'!$C$30+$B$82)</f>
        <v>79217.515161301533</v>
      </c>
      <c r="F94" s="330">
        <f>+F131*('Parametros Generales'!$C$30+$B$82)</f>
        <v>144111.87043201184</v>
      </c>
      <c r="G94" s="328">
        <f t="shared" si="3"/>
        <v>0</v>
      </c>
      <c r="H94" s="188">
        <f t="shared" si="7"/>
        <v>50408.346777359999</v>
      </c>
      <c r="I94" s="188">
        <f t="shared" si="4"/>
        <v>151225.04033207998</v>
      </c>
      <c r="J94" s="157">
        <f t="shared" si="5"/>
        <v>252041.73388680001</v>
      </c>
      <c r="K94" s="356">
        <v>57</v>
      </c>
      <c r="L94" s="356">
        <f t="shared" si="6"/>
        <v>58.390799999999999</v>
      </c>
      <c r="M94" s="147"/>
      <c r="N94" s="147"/>
    </row>
    <row r="95" spans="1:14" ht="15">
      <c r="A95" s="147"/>
      <c r="B95" s="344" t="s">
        <v>831</v>
      </c>
      <c r="C95" s="323">
        <f>+C132*('Parametros Generales'!$C$30+$B$82)</f>
        <v>5116.6503515724735</v>
      </c>
      <c r="D95" s="187">
        <f>+D132*('Parametros Generales'!$C$30+$B$82)</f>
        <v>20039.733169518346</v>
      </c>
      <c r="E95" s="187">
        <f>+E132*('Parametros Generales'!$C$30+$B$82)</f>
        <v>50651.954235724435</v>
      </c>
      <c r="F95" s="330">
        <f>+F132*('Parametros Generales'!$C$30+$B$82)</f>
        <v>460474.30398484098</v>
      </c>
      <c r="G95" s="328">
        <f t="shared" si="3"/>
        <v>0</v>
      </c>
      <c r="H95" s="188">
        <f t="shared" si="7"/>
        <v>50408.346777359999</v>
      </c>
      <c r="I95" s="188">
        <f t="shared" si="4"/>
        <v>151225.04033207998</v>
      </c>
      <c r="J95" s="157">
        <f t="shared" si="5"/>
        <v>252041.73388680001</v>
      </c>
      <c r="K95" s="356">
        <v>57</v>
      </c>
      <c r="L95" s="356">
        <f t="shared" si="6"/>
        <v>58.390799999999999</v>
      </c>
      <c r="M95" s="147"/>
      <c r="N95" s="147"/>
    </row>
    <row r="96" spans="1:14" ht="15">
      <c r="A96" s="147"/>
      <c r="B96" s="344" t="s">
        <v>912</v>
      </c>
      <c r="C96" s="323">
        <f>+C133*('Parametros Generales'!$C$30+$B$82)</f>
        <v>8953.8496907675253</v>
      </c>
      <c r="D96" s="187">
        <f>+D133*('Parametros Generales'!$C$30+$B$82)</f>
        <v>55768.604587296926</v>
      </c>
      <c r="E96" s="187">
        <f>+E133*('Parametros Generales'!$C$30+$B$82)</f>
        <v>163372.8574939064</v>
      </c>
      <c r="F96" s="330">
        <f>+F133*('Parametros Generales'!$C$30+$B$82)</f>
        <v>422101.15689495334</v>
      </c>
      <c r="G96" s="328">
        <f t="shared" si="3"/>
        <v>0</v>
      </c>
      <c r="H96" s="188">
        <f t="shared" si="7"/>
        <v>50408.346777359999</v>
      </c>
      <c r="I96" s="188">
        <f t="shared" si="4"/>
        <v>151225.04033207998</v>
      </c>
      <c r="J96" s="157">
        <f t="shared" si="5"/>
        <v>252041.73388680001</v>
      </c>
      <c r="K96" s="356">
        <v>113</v>
      </c>
      <c r="L96" s="356">
        <f t="shared" si="6"/>
        <v>115.7572</v>
      </c>
      <c r="M96" s="147"/>
      <c r="N96" s="147"/>
    </row>
    <row r="97" spans="1:14" ht="15">
      <c r="A97" s="147"/>
      <c r="B97" s="344" t="s">
        <v>1174</v>
      </c>
      <c r="C97" s="323">
        <f>+C134*('Parametros Generales'!$C$30+$B$82)</f>
        <v>10233.300703144947</v>
      </c>
      <c r="D97" s="187">
        <f>+D134*('Parametros Generales'!$C$30+$B$82)</f>
        <v>200818.43144226892</v>
      </c>
      <c r="E97" s="187">
        <f>+E134*('Parametros Generales'!$C$30+$B$82)</f>
        <v>511638.50010469137</v>
      </c>
      <c r="F97" s="330">
        <f>+F134*('Parametros Generales'!$C$30+$B$82)</f>
        <v>1023277.0002093827</v>
      </c>
      <c r="G97" s="328">
        <f t="shared" si="3"/>
        <v>0</v>
      </c>
      <c r="H97" s="188">
        <f t="shared" si="7"/>
        <v>50408.346777359999</v>
      </c>
      <c r="I97" s="188">
        <f t="shared" si="4"/>
        <v>151225.04033207998</v>
      </c>
      <c r="J97" s="157">
        <f t="shared" si="5"/>
        <v>252041.73388680001</v>
      </c>
      <c r="K97" s="356">
        <v>113</v>
      </c>
      <c r="L97" s="356">
        <f t="shared" si="6"/>
        <v>115.7572</v>
      </c>
      <c r="M97" s="147"/>
      <c r="N97" s="147"/>
    </row>
    <row r="98" spans="1:14" ht="15">
      <c r="A98" s="147"/>
      <c r="B98" s="344" t="s">
        <v>916</v>
      </c>
      <c r="C98" s="323">
        <f>+C135*('Parametros Generales'!$C$30+$B$82)</f>
        <v>15348.7973567802</v>
      </c>
      <c r="D98" s="187">
        <f>+D135*('Parametros Generales'!$C$30+$B$82)</f>
        <v>117996.76392509085</v>
      </c>
      <c r="E98" s="187">
        <f>+E135*('Parametros Generales'!$C$30+$B$82)</f>
        <v>125351.5882748709</v>
      </c>
      <c r="F98" s="330">
        <f>+F135*('Parametros Generales'!$C$30+$B$82)</f>
        <v>257240.02906203261</v>
      </c>
      <c r="G98" s="328">
        <f t="shared" si="3"/>
        <v>0</v>
      </c>
      <c r="H98" s="188">
        <f t="shared" si="7"/>
        <v>50408.346777359999</v>
      </c>
      <c r="I98" s="188">
        <f t="shared" si="4"/>
        <v>151225.04033207998</v>
      </c>
      <c r="J98" s="157">
        <f t="shared" si="5"/>
        <v>252041.73388680001</v>
      </c>
      <c r="K98" s="356">
        <v>57</v>
      </c>
      <c r="L98" s="356">
        <f t="shared" si="6"/>
        <v>58.390799999999999</v>
      </c>
      <c r="M98" s="147"/>
      <c r="N98" s="147"/>
    </row>
    <row r="99" spans="1:14" ht="15">
      <c r="A99" s="147"/>
      <c r="B99" s="344" t="s">
        <v>925</v>
      </c>
      <c r="C99" s="323">
        <f>+C136*('Parametros Generales'!$C$30+$B$82)</f>
        <v>11676.576822607669</v>
      </c>
      <c r="D99" s="187">
        <f>+D136*('Parametros Generales'!$C$30+$B$82)</f>
        <v>29189.711509613338</v>
      </c>
      <c r="E99" s="187">
        <f>+E136*('Parametros Generales'!$C$30+$B$82)</f>
        <v>123642.9616298475</v>
      </c>
      <c r="F99" s="330">
        <f>+F136*('Parametros Generales'!$C$30+$B$82)</f>
        <v>773559.08169802709</v>
      </c>
      <c r="G99" s="328">
        <f t="shared" si="3"/>
        <v>0</v>
      </c>
      <c r="H99" s="188">
        <f t="shared" si="7"/>
        <v>50408.346777359999</v>
      </c>
      <c r="I99" s="188">
        <f t="shared" si="4"/>
        <v>151225.04033207998</v>
      </c>
      <c r="J99" s="157">
        <f t="shared" si="5"/>
        <v>252041.73388680001</v>
      </c>
      <c r="K99" s="356">
        <v>57</v>
      </c>
      <c r="L99" s="356">
        <f t="shared" si="6"/>
        <v>58.390799999999999</v>
      </c>
      <c r="M99" s="147"/>
      <c r="N99" s="147"/>
    </row>
    <row r="100" spans="1:14" ht="15">
      <c r="A100" s="147"/>
      <c r="B100" s="344" t="s">
        <v>998</v>
      </c>
      <c r="C100" s="323">
        <f>+C137*('Parametros Generales'!$C$30+$B$82)</f>
        <v>11676.576822607669</v>
      </c>
      <c r="D100" s="187">
        <f>+D137*('Parametros Generales'!$C$30+$B$82)</f>
        <v>227039.67815941415</v>
      </c>
      <c r="E100" s="187">
        <f>+E137*('Parametros Generales'!$C$30+$B$82)</f>
        <v>1063371.4646216033</v>
      </c>
      <c r="F100" s="330">
        <f>+F137*('Parametros Generales'!$C$30+$B$82)</f>
        <v>2206440.3827463915</v>
      </c>
      <c r="G100" s="328">
        <f t="shared" si="3"/>
        <v>0</v>
      </c>
      <c r="H100" s="188">
        <f t="shared" si="7"/>
        <v>50408.346777359999</v>
      </c>
      <c r="I100" s="188">
        <f t="shared" si="4"/>
        <v>151225.04033207998</v>
      </c>
      <c r="J100" s="157">
        <f t="shared" si="5"/>
        <v>252041.73388680001</v>
      </c>
      <c r="K100" s="356">
        <v>113</v>
      </c>
      <c r="L100" s="356">
        <f t="shared" si="6"/>
        <v>115.7572</v>
      </c>
      <c r="M100" s="147"/>
      <c r="N100" s="147"/>
    </row>
    <row r="101" spans="1:14" ht="15">
      <c r="A101" s="147"/>
      <c r="B101" s="344" t="s">
        <v>564</v>
      </c>
      <c r="C101" s="323">
        <f>+C138*('Parametros Generales'!$C$30+$B$82)</f>
        <v>11676.576822607669</v>
      </c>
      <c r="D101" s="187">
        <f>+D138*('Parametros Generales'!$C$30+$B$82)</f>
        <v>29189.711509613338</v>
      </c>
      <c r="E101" s="187">
        <f>+E138*('Parametros Generales'!$C$30+$B$82)</f>
        <v>43786.297811325843</v>
      </c>
      <c r="F101" s="330">
        <f>+F138*('Parametros Generales'!$C$30+$B$82)</f>
        <v>58380.576717163902</v>
      </c>
      <c r="G101" s="328">
        <f t="shared" si="3"/>
        <v>0</v>
      </c>
      <c r="H101" s="188">
        <f t="shared" si="7"/>
        <v>50408.346777359999</v>
      </c>
      <c r="I101" s="188">
        <f t="shared" si="4"/>
        <v>151225.04033207998</v>
      </c>
      <c r="J101" s="157">
        <f t="shared" si="5"/>
        <v>252041.73388680001</v>
      </c>
      <c r="K101" s="356">
        <v>57</v>
      </c>
      <c r="L101" s="356">
        <f t="shared" si="6"/>
        <v>58.390799999999999</v>
      </c>
      <c r="M101" s="147"/>
      <c r="N101" s="147"/>
    </row>
    <row r="102" spans="1:14" ht="15">
      <c r="A102" s="147"/>
      <c r="B102" s="344" t="s">
        <v>928</v>
      </c>
      <c r="C102" s="323">
        <f>+C139*('Parametros Generales'!$C$30+$B$82)</f>
        <v>11946.542139917243</v>
      </c>
      <c r="D102" s="187">
        <f>+D139*('Parametros Generales'!$C$30+$B$82)</f>
        <v>55960.118444875501</v>
      </c>
      <c r="E102" s="187">
        <f>+E139*('Parametros Generales'!$C$30+$B$82)</f>
        <v>103520.16220884929</v>
      </c>
      <c r="F102" s="330">
        <f>+F139*('Parametros Generales'!$C$30+$B$82)</f>
        <v>0</v>
      </c>
      <c r="G102" s="328">
        <f t="shared" si="3"/>
        <v>0</v>
      </c>
      <c r="H102" s="188">
        <f t="shared" si="7"/>
        <v>50408.346777359999</v>
      </c>
      <c r="I102" s="188">
        <f t="shared" si="4"/>
        <v>151225.04033207998</v>
      </c>
      <c r="J102" s="157">
        <f t="shared" si="5"/>
        <v>252041.73388680001</v>
      </c>
      <c r="K102" s="356">
        <v>57</v>
      </c>
      <c r="L102" s="356">
        <f t="shared" si="6"/>
        <v>58.390799999999999</v>
      </c>
      <c r="M102" s="147"/>
      <c r="N102" s="147"/>
    </row>
    <row r="103" spans="1:14" ht="15">
      <c r="A103" s="147"/>
      <c r="B103" s="344" t="s">
        <v>1189</v>
      </c>
      <c r="C103" s="323">
        <f>+C140*('Parametros Generales'!$C$30+$B$82)</f>
        <v>4378.2836717514174</v>
      </c>
      <c r="D103" s="187">
        <f>+D140*('Parametros Generales'!$C$30+$B$82)</f>
        <v>364882.35400057031</v>
      </c>
      <c r="E103" s="187">
        <f>+E140*('Parametros Generales'!$C$30+$B$82)</f>
        <v>1094644.7546058367</v>
      </c>
      <c r="F103" s="330">
        <f>+F140*('Parametros Generales'!$C$30+$B$82)</f>
        <v>2174462.1833225167</v>
      </c>
      <c r="G103" s="328">
        <f t="shared" si="3"/>
        <v>0</v>
      </c>
      <c r="H103" s="188">
        <f t="shared" si="7"/>
        <v>50408.346777359999</v>
      </c>
      <c r="I103" s="188">
        <f t="shared" si="4"/>
        <v>151225.04033207998</v>
      </c>
      <c r="J103" s="157">
        <f t="shared" si="5"/>
        <v>252041.73388680001</v>
      </c>
      <c r="K103" s="356">
        <v>113</v>
      </c>
      <c r="L103" s="356">
        <f t="shared" si="6"/>
        <v>115.7572</v>
      </c>
      <c r="M103" s="147"/>
      <c r="N103" s="147"/>
    </row>
    <row r="104" spans="1:14" ht="15">
      <c r="A104" s="147"/>
      <c r="B104" s="344" t="s">
        <v>1031</v>
      </c>
      <c r="C104" s="323">
        <f>+C141*('Parametros Generales'!$C$30+$B$82)</f>
        <v>6394.9476660126775</v>
      </c>
      <c r="D104" s="187">
        <f>+D141*('Parametros Generales'!$C$30+$B$82)</f>
        <v>52442.493434290504</v>
      </c>
      <c r="E104" s="187">
        <f>+E141*('Parametros Generales'!$C$30+$B$82)</f>
        <v>108723.33990571326</v>
      </c>
      <c r="F104" s="330">
        <f>+F141*('Parametros Generales'!$C$30+$B$82)</f>
        <v>773559.08169802709</v>
      </c>
      <c r="G104" s="328">
        <f t="shared" si="3"/>
        <v>0</v>
      </c>
      <c r="H104" s="188">
        <f t="shared" si="7"/>
        <v>50408.346777359999</v>
      </c>
      <c r="I104" s="188">
        <f t="shared" si="4"/>
        <v>151225.04033207998</v>
      </c>
      <c r="J104" s="157">
        <f t="shared" si="5"/>
        <v>252041.73388680001</v>
      </c>
      <c r="K104" s="356">
        <v>57</v>
      </c>
      <c r="L104" s="356">
        <f t="shared" si="6"/>
        <v>58.390799999999999</v>
      </c>
      <c r="M104" s="147"/>
      <c r="N104" s="147"/>
    </row>
    <row r="105" spans="1:14" ht="15">
      <c r="A105" s="147"/>
      <c r="B105" s="344" t="s">
        <v>1197</v>
      </c>
      <c r="C105" s="323">
        <f>+C142*('Parametros Generales'!$C$30+$B$82)</f>
        <v>4378.2836717514174</v>
      </c>
      <c r="D105" s="187">
        <f>+D142*('Parametros Generales'!$C$30+$B$82)</f>
        <v>364882.35400057031</v>
      </c>
      <c r="E105" s="187">
        <f>+E142*('Parametros Generales'!$C$30+$B$82)</f>
        <v>1094644.7546058367</v>
      </c>
      <c r="F105" s="330">
        <f>+F142*('Parametros Generales'!$C$30+$B$82)</f>
        <v>2174462.1833225167</v>
      </c>
      <c r="G105" s="328">
        <f t="shared" si="3"/>
        <v>0</v>
      </c>
      <c r="H105" s="188">
        <f t="shared" si="7"/>
        <v>50408.346777359999</v>
      </c>
      <c r="I105" s="188">
        <f t="shared" si="4"/>
        <v>151225.04033207998</v>
      </c>
      <c r="J105" s="157">
        <f t="shared" si="5"/>
        <v>252041.73388680001</v>
      </c>
      <c r="K105" s="356">
        <v>113</v>
      </c>
      <c r="L105" s="356">
        <f t="shared" si="6"/>
        <v>115.7572</v>
      </c>
      <c r="M105" s="147"/>
      <c r="N105" s="147"/>
    </row>
    <row r="106" spans="1:14" ht="15">
      <c r="A106" s="147"/>
      <c r="B106" s="344" t="s">
        <v>1014</v>
      </c>
      <c r="C106" s="323">
        <f>+C143*('Parametros Generales'!$C$30+$B$82)</f>
        <v>7163.3104922014636</v>
      </c>
      <c r="D106" s="187">
        <f>+D143*('Parametros Generales'!$C$30+$B$82)</f>
        <v>13814.379100277069</v>
      </c>
      <c r="E106" s="187">
        <f>+E143*('Parametros Generales'!$C$30+$B$82)</f>
        <v>20465.447708352676</v>
      </c>
      <c r="F106" s="330">
        <f>+F143*('Parametros Generales'!$C$30+$B$82)</f>
        <v>30698.748411497625</v>
      </c>
      <c r="G106" s="328">
        <f t="shared" si="3"/>
        <v>0</v>
      </c>
      <c r="H106" s="188">
        <f t="shared" si="7"/>
        <v>50408.346777359999</v>
      </c>
      <c r="I106" s="188">
        <f t="shared" si="4"/>
        <v>151225.04033207998</v>
      </c>
      <c r="J106" s="157">
        <f t="shared" si="5"/>
        <v>252041.73388680001</v>
      </c>
      <c r="K106" s="356">
        <v>57</v>
      </c>
      <c r="L106" s="356">
        <f t="shared" si="6"/>
        <v>58.390799999999999</v>
      </c>
      <c r="M106" s="147"/>
      <c r="N106" s="147"/>
    </row>
    <row r="107" spans="1:14" ht="15">
      <c r="A107" s="147"/>
      <c r="B107" s="344" t="s">
        <v>1035</v>
      </c>
      <c r="C107" s="323">
        <f>+C144*('Parametros Generales'!$C$30+$B$82)</f>
        <v>11676.576822607669</v>
      </c>
      <c r="D107" s="187">
        <f>+D144*('Parametros Generales'!$C$30+$B$82)</f>
        <v>29189.711509613338</v>
      </c>
      <c r="E107" s="187">
        <f>+E144*('Parametros Generales'!$C$30+$B$82)</f>
        <v>43786.297811325843</v>
      </c>
      <c r="F107" s="330">
        <f>+F144*('Parametros Generales'!$C$30+$B$82)</f>
        <v>58380.576717163902</v>
      </c>
      <c r="G107" s="328">
        <f t="shared" si="3"/>
        <v>0</v>
      </c>
      <c r="H107" s="188">
        <f t="shared" si="7"/>
        <v>50408.346777359999</v>
      </c>
      <c r="I107" s="188">
        <f t="shared" si="4"/>
        <v>151225.04033207998</v>
      </c>
      <c r="J107" s="157">
        <f t="shared" si="5"/>
        <v>252041.73388680001</v>
      </c>
      <c r="K107" s="356">
        <v>57</v>
      </c>
      <c r="L107" s="356">
        <f t="shared" si="6"/>
        <v>58.390799999999999</v>
      </c>
      <c r="M107" s="147"/>
      <c r="N107" s="147"/>
    </row>
    <row r="108" spans="1:14" ht="15">
      <c r="A108" s="147"/>
      <c r="B108" s="344" t="s">
        <v>1038</v>
      </c>
      <c r="C108" s="323">
        <f>+C145*('Parametros Generales'!$C$30+$B$82)</f>
        <v>6394.9476660126775</v>
      </c>
      <c r="D108" s="187">
        <f>+D145*('Parametros Generales'!$C$30+$B$82)</f>
        <v>33852.958571858202</v>
      </c>
      <c r="E108" s="187">
        <f>+E145*('Parametros Generales'!$C$30+$B$82)</f>
        <v>93800.257087767401</v>
      </c>
      <c r="F108" s="330">
        <f>+F145*('Parametros Generales'!$C$30+$B$82)</f>
        <v>281400.77126330219</v>
      </c>
      <c r="G108" s="328">
        <f t="shared" si="3"/>
        <v>0</v>
      </c>
      <c r="H108" s="188">
        <f t="shared" si="7"/>
        <v>50408.346777359999</v>
      </c>
      <c r="I108" s="188">
        <f t="shared" si="4"/>
        <v>151225.04033207998</v>
      </c>
      <c r="J108" s="157">
        <f t="shared" si="5"/>
        <v>252041.73388680001</v>
      </c>
      <c r="K108" s="356">
        <v>57</v>
      </c>
      <c r="L108" s="356">
        <f t="shared" si="6"/>
        <v>58.390799999999999</v>
      </c>
      <c r="M108" s="147"/>
      <c r="N108" s="147"/>
    </row>
    <row r="109" spans="1:14" ht="15">
      <c r="A109" s="147"/>
      <c r="B109" s="344" t="s">
        <v>1063</v>
      </c>
      <c r="C109" s="323">
        <f>+C146*('Parametros Generales'!$C$30+$B$82)</f>
        <v>13302.137216151214</v>
      </c>
      <c r="D109" s="187">
        <f>+D146*('Parametros Generales'!$C$30+$B$82)</f>
        <v>36922.948782801679</v>
      </c>
      <c r="E109" s="187">
        <f>+E146*('Parametros Generales'!$C$30+$B$82)</f>
        <v>103521.31590678649</v>
      </c>
      <c r="F109" s="330">
        <f>+F146*('Parametros Generales'!$C$30+$B$82)</f>
        <v>182626.92236817765</v>
      </c>
      <c r="G109" s="328">
        <f t="shared" si="3"/>
        <v>0</v>
      </c>
      <c r="H109" s="188">
        <f t="shared" si="7"/>
        <v>50408.346777359999</v>
      </c>
      <c r="I109" s="188">
        <f t="shared" si="4"/>
        <v>151225.04033207998</v>
      </c>
      <c r="J109" s="157">
        <f t="shared" si="5"/>
        <v>252041.73388680001</v>
      </c>
      <c r="K109" s="356">
        <v>57</v>
      </c>
      <c r="L109" s="356">
        <f t="shared" si="6"/>
        <v>58.390799999999999</v>
      </c>
      <c r="M109" s="147"/>
      <c r="N109" s="147"/>
    </row>
    <row r="110" spans="1:14" ht="15">
      <c r="A110" s="147"/>
      <c r="B110" s="344" t="s">
        <v>123</v>
      </c>
      <c r="C110" s="323">
        <f>+C147*('Parametros Generales'!$C$30+$B$82)</f>
        <v>11563.514424760069</v>
      </c>
      <c r="D110" s="187">
        <f>+D147*('Parametros Generales'!$C$30+$B$82)</f>
        <v>71358.524812956181</v>
      </c>
      <c r="E110" s="187">
        <f>+E147*('Parametros Generales'!$C$30+$B$82)</f>
        <v>145573.60571847006</v>
      </c>
      <c r="F110" s="330">
        <f>+F147*('Parametros Generales'!$C$30+$B$82)</f>
        <v>550011.64719457913</v>
      </c>
      <c r="G110" s="328">
        <f t="shared" si="3"/>
        <v>0</v>
      </c>
      <c r="H110" s="188">
        <f t="shared" si="7"/>
        <v>50408.346777359999</v>
      </c>
      <c r="I110" s="188">
        <f t="shared" si="4"/>
        <v>151225.04033207998</v>
      </c>
      <c r="J110" s="157">
        <f t="shared" si="5"/>
        <v>252041.73388680001</v>
      </c>
      <c r="K110" s="356">
        <v>57</v>
      </c>
      <c r="L110" s="356">
        <f t="shared" si="6"/>
        <v>58.390799999999999</v>
      </c>
      <c r="M110" s="147"/>
      <c r="N110" s="147"/>
    </row>
    <row r="111" spans="1:14" ht="15">
      <c r="A111" s="147"/>
      <c r="B111" s="344" t="s">
        <v>1183</v>
      </c>
      <c r="C111" s="323">
        <f>+C148*('Parametros Generales'!$C$30+$B$82)</f>
        <v>7354.8243497800504</v>
      </c>
      <c r="D111" s="187">
        <f>+D148*('Parametros Generales'!$C$30+$B$82)</f>
        <v>143898.43631362601</v>
      </c>
      <c r="E111" s="187">
        <f>+E148*('Parametros Generales'!$C$30+$B$82)</f>
        <v>151316.71404995324</v>
      </c>
      <c r="F111" s="330">
        <f>+F148*('Parametros Generales'!$C$30+$B$82)</f>
        <v>336827.8812611819</v>
      </c>
      <c r="G111" s="328">
        <f t="shared" si="3"/>
        <v>0</v>
      </c>
      <c r="H111" s="188">
        <f t="shared" si="7"/>
        <v>50408.346777359999</v>
      </c>
      <c r="I111" s="188">
        <f t="shared" si="4"/>
        <v>151225.04033207998</v>
      </c>
      <c r="J111" s="157">
        <f t="shared" si="5"/>
        <v>252041.73388680001</v>
      </c>
      <c r="K111" s="356">
        <v>113</v>
      </c>
      <c r="L111" s="356">
        <f t="shared" si="6"/>
        <v>115.7572</v>
      </c>
      <c r="M111" s="147"/>
      <c r="N111" s="147"/>
    </row>
    <row r="112" spans="1:14" ht="15">
      <c r="A112" s="147"/>
      <c r="B112" s="344" t="s">
        <v>1084</v>
      </c>
      <c r="C112" s="323">
        <f>+C149*('Parametros Generales'!$C$30+$B$82)</f>
        <v>11676.576822607669</v>
      </c>
      <c r="D112" s="187">
        <f>+D149*('Parametros Generales'!$C$30+$B$82)</f>
        <v>29189.711509613338</v>
      </c>
      <c r="E112" s="187">
        <f>+E149*('Parametros Generales'!$C$30+$B$82)</f>
        <v>123642.9616298475</v>
      </c>
      <c r="F112" s="330">
        <f>+F149*('Parametros Generales'!$C$30+$B$82)</f>
        <v>773559.08169802709</v>
      </c>
      <c r="G112" s="328">
        <f t="shared" si="3"/>
        <v>0</v>
      </c>
      <c r="H112" s="188">
        <f t="shared" si="7"/>
        <v>50408.346777359999</v>
      </c>
      <c r="I112" s="188">
        <f t="shared" si="4"/>
        <v>151225.04033207998</v>
      </c>
      <c r="J112" s="157">
        <f t="shared" si="5"/>
        <v>252041.73388680001</v>
      </c>
      <c r="K112" s="356">
        <v>57</v>
      </c>
      <c r="L112" s="356">
        <f t="shared" si="6"/>
        <v>58.390799999999999</v>
      </c>
      <c r="M112" s="147"/>
      <c r="N112" s="147"/>
    </row>
    <row r="113" spans="1:14" ht="15">
      <c r="A113" s="147"/>
      <c r="B113" s="344" t="s">
        <v>1085</v>
      </c>
      <c r="C113" s="323">
        <f>+C150*('Parametros Generales'!$C$30+$B$82)</f>
        <v>7163.3104922014636</v>
      </c>
      <c r="D113" s="187">
        <f>+D150*('Parametros Generales'!$C$30+$B$82)</f>
        <v>42082.285958051318</v>
      </c>
      <c r="E113" s="187">
        <f>+E150*('Parametros Generales'!$C$30+$B$82)</f>
        <v>51164.19611985029</v>
      </c>
      <c r="F113" s="330">
        <f>+F150*('Parametros Generales'!$C$30+$B$82)</f>
        <v>773559.08169802709</v>
      </c>
      <c r="G113" s="328">
        <f t="shared" si="3"/>
        <v>0</v>
      </c>
      <c r="H113" s="188">
        <f t="shared" si="7"/>
        <v>50408.346777359999</v>
      </c>
      <c r="I113" s="188">
        <f t="shared" si="4"/>
        <v>151225.04033207998</v>
      </c>
      <c r="J113" s="157">
        <f t="shared" si="5"/>
        <v>252041.73388680001</v>
      </c>
      <c r="K113" s="356">
        <v>57</v>
      </c>
      <c r="L113" s="356">
        <f t="shared" si="6"/>
        <v>58.390799999999999</v>
      </c>
      <c r="M113" s="147"/>
      <c r="N113" s="147"/>
    </row>
    <row r="114" spans="1:14" ht="15">
      <c r="A114" s="147"/>
      <c r="B114" s="344" t="s">
        <v>1137</v>
      </c>
      <c r="C114" s="323">
        <f>+C151*('Parametros Generales'!$C$30+$B$82)</f>
        <v>4378.2836717514174</v>
      </c>
      <c r="D114" s="187">
        <f>+D151*('Parametros Generales'!$C$30+$B$82)</f>
        <v>332564.96738315246</v>
      </c>
      <c r="E114" s="187">
        <f>+E151*('Parametros Generales'!$C$30+$B$82)</f>
        <v>0</v>
      </c>
      <c r="F114" s="330">
        <f>+F151*('Parametros Generales'!$C$30+$B$82)</f>
        <v>0</v>
      </c>
      <c r="G114" s="328">
        <f t="shared" si="3"/>
        <v>0</v>
      </c>
      <c r="H114" s="188">
        <f t="shared" si="7"/>
        <v>50408.346777359999</v>
      </c>
      <c r="I114" s="188">
        <f t="shared" si="4"/>
        <v>151225.04033207998</v>
      </c>
      <c r="J114" s="157">
        <f t="shared" si="5"/>
        <v>252041.73388680001</v>
      </c>
      <c r="K114" s="356">
        <v>113</v>
      </c>
      <c r="L114" s="356">
        <f t="shared" si="6"/>
        <v>115.7572</v>
      </c>
      <c r="M114" s="147"/>
      <c r="N114" s="147"/>
    </row>
    <row r="115" spans="1:14" ht="15">
      <c r="A115" s="147"/>
      <c r="B115" s="344" t="s">
        <v>1091</v>
      </c>
      <c r="C115" s="323">
        <f>+C152*('Parametros Generales'!$C$30+$B$82)</f>
        <v>11676.576822607669</v>
      </c>
      <c r="D115" s="187">
        <f>+D152*('Parametros Generales'!$C$30+$B$82)</f>
        <v>29189.711509613338</v>
      </c>
      <c r="E115" s="187">
        <f>+E152*('Parametros Generales'!$C$30+$B$82)</f>
        <v>43786.297811325843</v>
      </c>
      <c r="F115" s="330">
        <f>+F152*('Parametros Generales'!$C$30+$B$82)</f>
        <v>58380.576717163902</v>
      </c>
      <c r="G115" s="328">
        <f t="shared" si="3"/>
        <v>0</v>
      </c>
      <c r="H115" s="188">
        <f t="shared" si="7"/>
        <v>50408.346777359999</v>
      </c>
      <c r="I115" s="188">
        <f t="shared" si="4"/>
        <v>151225.04033207998</v>
      </c>
      <c r="J115" s="157">
        <f t="shared" si="5"/>
        <v>252041.73388680001</v>
      </c>
      <c r="K115" s="356">
        <v>57</v>
      </c>
      <c r="L115" s="356">
        <f t="shared" si="6"/>
        <v>58.390799999999999</v>
      </c>
      <c r="M115" s="147"/>
      <c r="N115" s="147"/>
    </row>
    <row r="116" spans="1:14" ht="15">
      <c r="A116" s="147"/>
      <c r="B116" s="344" t="s">
        <v>924</v>
      </c>
      <c r="C116" s="323">
        <f>+C153*('Parametros Generales'!$C$30+$B$82)</f>
        <v>11676.576822607669</v>
      </c>
      <c r="D116" s="187">
        <f>+D153*('Parametros Generales'!$C$30+$B$82)</f>
        <v>29189.711509613338</v>
      </c>
      <c r="E116" s="187">
        <f>+E153*('Parametros Generales'!$C$30+$B$82)</f>
        <v>123642.9616298475</v>
      </c>
      <c r="F116" s="330">
        <f>+F153*('Parametros Generales'!$C$30+$B$82)</f>
        <v>773559.08169802709</v>
      </c>
      <c r="G116" s="328">
        <f t="shared" si="3"/>
        <v>0</v>
      </c>
      <c r="H116" s="188">
        <f t="shared" si="7"/>
        <v>50408.346777359999</v>
      </c>
      <c r="I116" s="188">
        <f t="shared" si="4"/>
        <v>151225.04033207998</v>
      </c>
      <c r="J116" s="157">
        <f t="shared" si="5"/>
        <v>252041.73388680001</v>
      </c>
      <c r="K116" s="356">
        <v>57</v>
      </c>
      <c r="L116" s="356">
        <f t="shared" si="6"/>
        <v>58.390799999999999</v>
      </c>
      <c r="M116" s="147"/>
      <c r="N116" s="147"/>
    </row>
    <row r="117" spans="1:14" ht="15">
      <c r="A117" s="147"/>
      <c r="B117" s="344" t="s">
        <v>1148</v>
      </c>
      <c r="C117" s="323">
        <f>+C154*('Parametros Generales'!$C$30+$B$82)</f>
        <v>5738.4935397342688</v>
      </c>
      <c r="D117" s="187">
        <f>+D154*('Parametros Generales'!$C$30+$B$82)</f>
        <v>43361.736970428734</v>
      </c>
      <c r="E117" s="187">
        <f>+E154*('Parametros Generales'!$C$30+$B$82)</f>
        <v>75722.964109460969</v>
      </c>
      <c r="F117" s="330">
        <f>+F154*('Parametros Generales'!$C$30+$B$82)</f>
        <v>100961.95696864683</v>
      </c>
      <c r="G117" s="328">
        <f t="shared" si="3"/>
        <v>0</v>
      </c>
      <c r="H117" s="188">
        <f t="shared" si="7"/>
        <v>50408.346777359999</v>
      </c>
      <c r="I117" s="188">
        <f t="shared" si="4"/>
        <v>151225.04033207998</v>
      </c>
      <c r="J117" s="157">
        <f t="shared" si="5"/>
        <v>252041.73388680001</v>
      </c>
      <c r="K117" s="356">
        <v>57</v>
      </c>
      <c r="L117" s="356">
        <f t="shared" si="6"/>
        <v>58.390799999999999</v>
      </c>
      <c r="M117" s="147"/>
      <c r="N117" s="147"/>
    </row>
    <row r="118" spans="1:14" ht="15">
      <c r="A118" s="147"/>
      <c r="B118" s="344" t="s">
        <v>1281</v>
      </c>
      <c r="C118" s="323">
        <f>+C155*('Parametros Generales'!$C$30+$B$82)</f>
        <v>13865.141809514767</v>
      </c>
      <c r="D118" s="187">
        <f>+D155*('Parametros Generales'!$C$30+$B$82)</f>
        <v>21892.572056694313</v>
      </c>
      <c r="E118" s="187">
        <f>+E155*('Parametros Generales'!$C$30+$B$82)</f>
        <v>29189.711509613338</v>
      </c>
      <c r="F118" s="330">
        <f>+F155*('Parametros Generales'!$C$30+$B$82)</f>
        <v>46705.153592493458</v>
      </c>
      <c r="G118" s="328">
        <f t="shared" si="3"/>
        <v>0</v>
      </c>
      <c r="H118" s="188">
        <f t="shared" si="7"/>
        <v>50408.346777359999</v>
      </c>
      <c r="I118" s="188">
        <f t="shared" si="4"/>
        <v>151225.04033207998</v>
      </c>
      <c r="J118" s="157">
        <f t="shared" si="5"/>
        <v>252041.73388680001</v>
      </c>
      <c r="K118" s="356">
        <v>57</v>
      </c>
      <c r="L118" s="356">
        <f t="shared" si="6"/>
        <v>58.390799999999999</v>
      </c>
      <c r="M118" s="147"/>
      <c r="N118" s="147"/>
    </row>
    <row r="119" spans="1:14" ht="15">
      <c r="A119" s="147"/>
      <c r="B119" s="344" t="s">
        <v>1198</v>
      </c>
      <c r="C119" s="323">
        <f>+C156*('Parametros Generales'!$C$30+$B$82)</f>
        <v>5116.6503515724735</v>
      </c>
      <c r="D119" s="187">
        <f>+D156*('Parametros Generales'!$C$30+$B$82)</f>
        <v>613965.73864645464</v>
      </c>
      <c r="E119" s="187">
        <f>+E156*('Parametros Generales'!$C$30+$B$82)</f>
        <v>1224094.2779537144</v>
      </c>
      <c r="F119" s="330">
        <f>+F156*('Parametros Generales'!$C$30+$B$82)</f>
        <v>2174462.1833225167</v>
      </c>
      <c r="G119" s="328">
        <f t="shared" si="3"/>
        <v>0</v>
      </c>
      <c r="H119" s="188">
        <f t="shared" si="7"/>
        <v>50408.346777359999</v>
      </c>
      <c r="I119" s="188">
        <f t="shared" si="4"/>
        <v>151225.04033207998</v>
      </c>
      <c r="J119" s="157">
        <f t="shared" si="5"/>
        <v>252041.73388680001</v>
      </c>
      <c r="K119" s="356">
        <v>113</v>
      </c>
      <c r="L119" s="356">
        <f t="shared" si="6"/>
        <v>115.7572</v>
      </c>
      <c r="M119" s="147"/>
      <c r="N119" s="147"/>
    </row>
    <row r="120" spans="1:14" ht="15.75" thickBot="1">
      <c r="A120" s="147"/>
      <c r="B120" s="345" t="s">
        <v>1204</v>
      </c>
      <c r="C120" s="324">
        <f>+C157*('Parametros Generales'!$C$30+$B$82)</f>
        <v>4378.2836717514174</v>
      </c>
      <c r="D120" s="325">
        <f>+D157*('Parametros Generales'!$C$30+$B$82)</f>
        <v>364882.35400057031</v>
      </c>
      <c r="E120" s="325">
        <f>+E157*('Parametros Generales'!$C$30+$B$82)</f>
        <v>1094644.7546058367</v>
      </c>
      <c r="F120" s="331">
        <f>+F157*('Parametros Generales'!$C$30+$B$82)</f>
        <v>2174462.1833225167</v>
      </c>
      <c r="G120" s="329">
        <f t="shared" si="3"/>
        <v>0</v>
      </c>
      <c r="H120" s="326">
        <f t="shared" si="7"/>
        <v>50408.346777359999</v>
      </c>
      <c r="I120" s="326">
        <f t="shared" si="4"/>
        <v>151225.04033207998</v>
      </c>
      <c r="J120" s="179">
        <f t="shared" si="5"/>
        <v>252041.73388680001</v>
      </c>
      <c r="K120" s="357">
        <v>113</v>
      </c>
      <c r="L120" s="357">
        <f t="shared" si="6"/>
        <v>115.7572</v>
      </c>
      <c r="M120" s="147"/>
      <c r="N120" s="147"/>
    </row>
    <row r="121" spans="1:14" ht="15.75" thickBot="1">
      <c r="A121" s="147"/>
      <c r="B121" s="147"/>
      <c r="C121" s="189"/>
      <c r="D121" s="189"/>
      <c r="E121" s="189"/>
      <c r="F121" s="189"/>
      <c r="G121" s="189"/>
      <c r="H121" s="189"/>
      <c r="I121" s="189"/>
      <c r="J121" s="189"/>
      <c r="K121" s="189"/>
      <c r="L121" s="147"/>
      <c r="M121" s="147"/>
      <c r="N121" s="147"/>
    </row>
    <row r="122" spans="1:14" ht="15">
      <c r="A122" s="147"/>
      <c r="B122" s="190"/>
      <c r="C122" s="1272" t="s">
        <v>1272</v>
      </c>
      <c r="D122" s="1273"/>
      <c r="E122" s="1273"/>
      <c r="F122" s="1274"/>
      <c r="G122" s="189"/>
      <c r="H122" s="189"/>
      <c r="I122" s="189"/>
      <c r="J122" s="189"/>
      <c r="K122" s="189"/>
      <c r="L122" s="147"/>
      <c r="M122" s="147"/>
      <c r="N122" s="147"/>
    </row>
    <row r="123" spans="1:14" ht="14.25" customHeight="1" thickBot="1">
      <c r="A123" s="147"/>
      <c r="B123" s="191"/>
      <c r="C123" s="1275"/>
      <c r="D123" s="1276"/>
      <c r="E123" s="1276"/>
      <c r="F123" s="1277"/>
      <c r="G123" s="189"/>
      <c r="H123" s="189"/>
      <c r="I123" s="189"/>
      <c r="J123" s="189"/>
      <c r="K123" s="189"/>
      <c r="L123" s="147"/>
      <c r="M123" s="147"/>
      <c r="N123" s="147"/>
    </row>
    <row r="124" spans="1:14" ht="30.75" thickBot="1">
      <c r="A124" s="147"/>
      <c r="B124" s="352" t="s">
        <v>1275</v>
      </c>
      <c r="C124" s="348" t="s">
        <v>1276</v>
      </c>
      <c r="D124" s="348" t="s">
        <v>1277</v>
      </c>
      <c r="E124" s="348" t="s">
        <v>1278</v>
      </c>
      <c r="F124" s="349" t="s">
        <v>1279</v>
      </c>
      <c r="G124" s="189"/>
      <c r="H124" s="189"/>
      <c r="I124" s="189"/>
      <c r="J124" s="189"/>
      <c r="K124" s="189"/>
      <c r="L124" s="147"/>
      <c r="M124" s="147"/>
      <c r="N124" s="147"/>
    </row>
    <row r="125" spans="1:14" ht="15">
      <c r="A125" s="147"/>
      <c r="B125" s="196" t="s">
        <v>1185</v>
      </c>
      <c r="C125" s="353">
        <v>4315.705935684</v>
      </c>
      <c r="D125" s="353">
        <v>359667.17989213439</v>
      </c>
      <c r="E125" s="353">
        <v>1078999.265259573</v>
      </c>
      <c r="F125" s="354">
        <v>2143383.1279669954</v>
      </c>
      <c r="G125" s="189"/>
      <c r="H125" s="189"/>
      <c r="I125" s="189"/>
      <c r="J125" s="189"/>
      <c r="K125" s="189"/>
      <c r="L125" s="147"/>
      <c r="M125" s="147"/>
      <c r="N125" s="147"/>
    </row>
    <row r="126" spans="1:14" ht="15">
      <c r="A126" s="147"/>
      <c r="B126" s="198" t="s">
        <v>761</v>
      </c>
      <c r="C126" s="187">
        <f>+C129</f>
        <v>16636.2219059608</v>
      </c>
      <c r="D126" s="187">
        <f>+D129</f>
        <v>21579.666886835203</v>
      </c>
      <c r="E126" s="187">
        <v>73593.30538125278</v>
      </c>
      <c r="F126" s="330">
        <v>87626.457224820799</v>
      </c>
      <c r="G126" s="189"/>
      <c r="H126" s="189"/>
      <c r="I126" s="189"/>
      <c r="J126" s="189"/>
      <c r="K126" s="189"/>
      <c r="L126" s="147"/>
      <c r="M126" s="147"/>
      <c r="N126" s="147"/>
    </row>
    <row r="127" spans="1:14" ht="15">
      <c r="A127" s="147"/>
      <c r="B127" s="198" t="s">
        <v>1171</v>
      </c>
      <c r="C127" s="187">
        <v>4315.705935684</v>
      </c>
      <c r="D127" s="187">
        <v>359667.17989213439</v>
      </c>
      <c r="E127" s="187">
        <v>1078999.265259573</v>
      </c>
      <c r="F127" s="330">
        <v>2143383.1279669954</v>
      </c>
      <c r="G127" s="189"/>
      <c r="H127" s="189"/>
      <c r="I127" s="189"/>
      <c r="J127" s="189"/>
      <c r="K127" s="189"/>
      <c r="L127" s="147"/>
      <c r="M127" s="147"/>
      <c r="N127" s="147"/>
    </row>
    <row r="128" spans="1:14" ht="15">
      <c r="A128" s="147"/>
      <c r="B128" s="198" t="s">
        <v>805</v>
      </c>
      <c r="C128" s="187">
        <v>11509.6863702392</v>
      </c>
      <c r="D128" s="187">
        <v>28772.5101129752</v>
      </c>
      <c r="E128" s="187">
        <v>43159.333773670405</v>
      </c>
      <c r="F128" s="330">
        <v>57546.157434365603</v>
      </c>
      <c r="G128" s="189"/>
      <c r="H128" s="189"/>
      <c r="I128" s="189"/>
      <c r="J128" s="189"/>
      <c r="K128" s="189"/>
      <c r="L128" s="147"/>
      <c r="M128" s="147"/>
      <c r="N128" s="147"/>
    </row>
    <row r="129" spans="1:14" ht="15">
      <c r="A129" s="147"/>
      <c r="B129" s="198" t="s">
        <v>1280</v>
      </c>
      <c r="C129" s="187">
        <v>16636.2219059608</v>
      </c>
      <c r="D129" s="187">
        <v>21579.666886835203</v>
      </c>
      <c r="E129" s="187">
        <v>0</v>
      </c>
      <c r="F129" s="330">
        <v>0</v>
      </c>
      <c r="G129" s="189"/>
      <c r="H129" s="189"/>
      <c r="I129" s="189"/>
      <c r="J129" s="189"/>
      <c r="K129" s="189"/>
      <c r="L129" s="147"/>
      <c r="M129" s="147"/>
      <c r="N129" s="147"/>
    </row>
    <row r="130" spans="1:14" ht="15">
      <c r="A130" s="147"/>
      <c r="B130" s="198" t="s">
        <v>663</v>
      </c>
      <c r="C130" s="187">
        <v>11509.6863702392</v>
      </c>
      <c r="D130" s="187">
        <v>28772.5101129752</v>
      </c>
      <c r="E130" s="187">
        <v>43160.470982085601</v>
      </c>
      <c r="F130" s="330">
        <v>57546.157434365603</v>
      </c>
      <c r="G130" s="189"/>
      <c r="H130" s="189"/>
      <c r="I130" s="189"/>
      <c r="J130" s="189"/>
      <c r="K130" s="189"/>
      <c r="L130" s="147"/>
      <c r="M130" s="147"/>
      <c r="N130" s="147"/>
    </row>
    <row r="131" spans="1:14" ht="15">
      <c r="A131" s="147"/>
      <c r="B131" s="198" t="s">
        <v>822</v>
      </c>
      <c r="C131" s="187">
        <v>8409.6562304039999</v>
      </c>
      <c r="D131" s="187">
        <v>57524.550474476804</v>
      </c>
      <c r="E131" s="187">
        <v>78085.278621292789</v>
      </c>
      <c r="F131" s="330">
        <v>142052.11476787762</v>
      </c>
      <c r="G131" s="189"/>
      <c r="H131" s="189"/>
      <c r="I131" s="189"/>
      <c r="J131" s="189"/>
      <c r="K131" s="189"/>
      <c r="L131" s="147"/>
      <c r="M131" s="147"/>
      <c r="N131" s="147"/>
    </row>
    <row r="132" spans="1:14" ht="15">
      <c r="A132" s="147"/>
      <c r="B132" s="198" t="s">
        <v>831</v>
      </c>
      <c r="C132" s="187">
        <v>5043.519321412</v>
      </c>
      <c r="D132" s="187">
        <v>19753.310172023997</v>
      </c>
      <c r="E132" s="187">
        <v>49927.998260940796</v>
      </c>
      <c r="F132" s="330">
        <v>453892.85755036079</v>
      </c>
      <c r="G132" s="189"/>
      <c r="H132" s="189"/>
      <c r="I132" s="189"/>
      <c r="J132" s="189"/>
      <c r="K132" s="189"/>
      <c r="L132" s="147"/>
      <c r="M132" s="147"/>
      <c r="N132" s="147"/>
    </row>
    <row r="133" spans="1:14" ht="15">
      <c r="A133" s="147"/>
      <c r="B133" s="198" t="s">
        <v>912</v>
      </c>
      <c r="C133" s="187">
        <v>8825.8745103672009</v>
      </c>
      <c r="D133" s="187">
        <v>54971.517582352812</v>
      </c>
      <c r="E133" s="187">
        <v>161037.8092596416</v>
      </c>
      <c r="F133" s="330">
        <v>416068.16845239367</v>
      </c>
      <c r="G133" s="189"/>
      <c r="H133" s="189"/>
      <c r="I133" s="189"/>
      <c r="J133" s="189"/>
      <c r="K133" s="189"/>
      <c r="L133" s="147"/>
      <c r="M133" s="147"/>
      <c r="N133" s="147"/>
    </row>
    <row r="134" spans="1:14" ht="15">
      <c r="A134" s="147"/>
      <c r="B134" s="198" t="s">
        <v>1174</v>
      </c>
      <c r="C134" s="187">
        <v>10087.038642824</v>
      </c>
      <c r="D134" s="187">
        <v>197948.18279178801</v>
      </c>
      <c r="E134" s="187">
        <v>504325.77634765045</v>
      </c>
      <c r="F134" s="330">
        <v>1008651.5526953009</v>
      </c>
      <c r="G134" s="189"/>
      <c r="H134" s="189"/>
      <c r="I134" s="189"/>
      <c r="J134" s="189"/>
      <c r="K134" s="189"/>
      <c r="L134" s="147"/>
      <c r="M134" s="147"/>
      <c r="N134" s="147"/>
    </row>
    <row r="135" spans="1:14" ht="15">
      <c r="A135" s="147"/>
      <c r="B135" s="198" t="s">
        <v>916</v>
      </c>
      <c r="C135" s="187">
        <v>15129.4207558208</v>
      </c>
      <c r="D135" s="187">
        <v>116310.26508141041</v>
      </c>
      <c r="E135" s="187">
        <v>123559.9687283104</v>
      </c>
      <c r="F135" s="330">
        <v>253563.36033714403</v>
      </c>
      <c r="G135" s="189"/>
      <c r="H135" s="189"/>
      <c r="I135" s="189"/>
      <c r="J135" s="189"/>
      <c r="K135" s="189"/>
      <c r="L135" s="147"/>
      <c r="M135" s="147"/>
      <c r="N135" s="147"/>
    </row>
    <row r="136" spans="1:14" ht="15">
      <c r="A136" s="147"/>
      <c r="B136" s="198" t="s">
        <v>925</v>
      </c>
      <c r="C136" s="187">
        <v>11509.6863702392</v>
      </c>
      <c r="D136" s="187">
        <v>28772.5101129752</v>
      </c>
      <c r="E136" s="187">
        <v>121875.76306539922</v>
      </c>
      <c r="F136" s="330">
        <v>762502.79122526082</v>
      </c>
      <c r="G136" s="189"/>
      <c r="H136" s="189"/>
      <c r="I136" s="189"/>
      <c r="J136" s="189"/>
      <c r="K136" s="189"/>
      <c r="L136" s="147"/>
      <c r="M136" s="147"/>
      <c r="N136" s="147"/>
    </row>
    <row r="137" spans="1:14" ht="15">
      <c r="A137" s="147"/>
      <c r="B137" s="198" t="s">
        <v>998</v>
      </c>
      <c r="C137" s="187">
        <v>11509.6863702392</v>
      </c>
      <c r="D137" s="187">
        <v>223794.65565245357</v>
      </c>
      <c r="E137" s="187">
        <v>1048172.9567487465</v>
      </c>
      <c r="F137" s="330">
        <v>2174904.2708195085</v>
      </c>
      <c r="G137" s="189"/>
      <c r="H137" s="189"/>
      <c r="I137" s="189"/>
      <c r="J137" s="189"/>
      <c r="K137" s="189"/>
      <c r="L137" s="147"/>
      <c r="M137" s="147"/>
      <c r="N137" s="147"/>
    </row>
    <row r="138" spans="1:14" ht="15">
      <c r="A138" s="147"/>
      <c r="B138" s="198" t="s">
        <v>564</v>
      </c>
      <c r="C138" s="187">
        <v>11509.6863702392</v>
      </c>
      <c r="D138" s="187">
        <v>28772.5101129752</v>
      </c>
      <c r="E138" s="187">
        <v>43160.470982085601</v>
      </c>
      <c r="F138" s="330">
        <v>57546.157434365603</v>
      </c>
      <c r="G138" s="189"/>
      <c r="H138" s="189"/>
      <c r="I138" s="189"/>
      <c r="J138" s="189"/>
      <c r="K138" s="189"/>
      <c r="L138" s="147"/>
      <c r="M138" s="147"/>
      <c r="N138" s="147"/>
    </row>
    <row r="139" spans="1:14" ht="15">
      <c r="A139" s="147"/>
      <c r="B139" s="198" t="s">
        <v>928</v>
      </c>
      <c r="C139" s="187">
        <v>11775.793139396001</v>
      </c>
      <c r="D139" s="187">
        <v>55160.294179276003</v>
      </c>
      <c r="E139" s="187">
        <v>102040.57388748082</v>
      </c>
      <c r="F139" s="330">
        <v>0</v>
      </c>
      <c r="G139" s="189"/>
      <c r="H139" s="189"/>
      <c r="I139" s="189"/>
      <c r="J139" s="189"/>
      <c r="K139" s="189"/>
      <c r="L139" s="147"/>
      <c r="M139" s="147"/>
      <c r="N139" s="147"/>
    </row>
    <row r="140" spans="1:14" ht="15">
      <c r="A140" s="147"/>
      <c r="B140" s="198" t="s">
        <v>1189</v>
      </c>
      <c r="C140" s="187">
        <v>4315.705935684</v>
      </c>
      <c r="D140" s="187">
        <v>359667.17989213439</v>
      </c>
      <c r="E140" s="187">
        <v>1078999.265259573</v>
      </c>
      <c r="F140" s="330">
        <v>2143383.1279669954</v>
      </c>
      <c r="G140" s="189"/>
      <c r="H140" s="189"/>
      <c r="I140" s="189"/>
      <c r="J140" s="189"/>
      <c r="K140" s="189"/>
      <c r="L140" s="147"/>
      <c r="M140" s="147"/>
      <c r="N140" s="147"/>
    </row>
    <row r="141" spans="1:14" ht="15">
      <c r="A141" s="147"/>
      <c r="B141" s="198" t="s">
        <v>1031</v>
      </c>
      <c r="C141" s="187">
        <v>6303.5462454536009</v>
      </c>
      <c r="D141" s="187">
        <v>51692.945721331205</v>
      </c>
      <c r="E141" s="187">
        <v>107169.38384003279</v>
      </c>
      <c r="F141" s="330">
        <v>762502.79122526082</v>
      </c>
      <c r="G141" s="189"/>
      <c r="H141" s="189"/>
      <c r="I141" s="189"/>
      <c r="J141" s="189"/>
      <c r="K141" s="189"/>
      <c r="L141" s="147"/>
      <c r="M141" s="147"/>
      <c r="N141" s="147"/>
    </row>
    <row r="142" spans="1:14" ht="15">
      <c r="A142" s="147"/>
      <c r="B142" s="198" t="s">
        <v>1197</v>
      </c>
      <c r="C142" s="187">
        <v>4315.705935684</v>
      </c>
      <c r="D142" s="187">
        <v>359667.17989213439</v>
      </c>
      <c r="E142" s="187">
        <v>1078999.265259573</v>
      </c>
      <c r="F142" s="330">
        <v>2143383.1279669954</v>
      </c>
      <c r="G142" s="189"/>
      <c r="H142" s="189"/>
      <c r="I142" s="189"/>
      <c r="J142" s="189"/>
      <c r="K142" s="189"/>
      <c r="L142" s="147"/>
      <c r="M142" s="147"/>
      <c r="N142" s="147"/>
    </row>
    <row r="143" spans="1:14" ht="15">
      <c r="A143" s="147"/>
      <c r="B143" s="198" t="s">
        <v>1014</v>
      </c>
      <c r="C143" s="187">
        <v>7060.9270499767999</v>
      </c>
      <c r="D143" s="187">
        <v>13616.9335636048</v>
      </c>
      <c r="E143" s="187">
        <v>20172.940077232801</v>
      </c>
      <c r="F143" s="330">
        <v>30259.978720056803</v>
      </c>
      <c r="G143" s="189"/>
      <c r="H143" s="189"/>
      <c r="I143" s="189"/>
      <c r="J143" s="189"/>
      <c r="K143" s="189"/>
      <c r="L143" s="147"/>
      <c r="M143" s="147"/>
      <c r="N143" s="147"/>
    </row>
    <row r="144" spans="1:14" ht="15">
      <c r="A144" s="147"/>
      <c r="B144" s="198" t="s">
        <v>1035</v>
      </c>
      <c r="C144" s="187">
        <v>11509.6863702392</v>
      </c>
      <c r="D144" s="187">
        <v>28772.5101129752</v>
      </c>
      <c r="E144" s="187">
        <v>43160.470982085601</v>
      </c>
      <c r="F144" s="330">
        <v>57546.157434365603</v>
      </c>
      <c r="G144" s="189"/>
      <c r="H144" s="189"/>
      <c r="I144" s="189"/>
      <c r="J144" s="189"/>
      <c r="K144" s="189"/>
      <c r="L144" s="147"/>
      <c r="M144" s="147"/>
      <c r="N144" s="147"/>
    </row>
    <row r="145" spans="1:14" ht="15">
      <c r="A145" s="147"/>
      <c r="B145" s="198" t="s">
        <v>1038</v>
      </c>
      <c r="C145" s="187">
        <v>6303.5462454536009</v>
      </c>
      <c r="D145" s="187">
        <v>33369.106527213604</v>
      </c>
      <c r="E145" s="187">
        <v>92459.592989420809</v>
      </c>
      <c r="F145" s="330">
        <v>277378.77896826237</v>
      </c>
      <c r="G145" s="189"/>
      <c r="H145" s="189"/>
      <c r="I145" s="189"/>
      <c r="J145" s="189"/>
      <c r="K145" s="189"/>
      <c r="L145" s="147"/>
      <c r="M145" s="147"/>
      <c r="N145" s="147"/>
    </row>
    <row r="146" spans="1:14" ht="15">
      <c r="A146" s="147"/>
      <c r="B146" s="198" t="s">
        <v>1063</v>
      </c>
      <c r="C146" s="187">
        <v>13112.013027256002</v>
      </c>
      <c r="D146" s="187">
        <v>36395.218120060796</v>
      </c>
      <c r="E146" s="187">
        <v>102041.711095896</v>
      </c>
      <c r="F146" s="330">
        <v>180016.6805009144</v>
      </c>
      <c r="G146" s="189"/>
      <c r="H146" s="189"/>
      <c r="I146" s="189"/>
      <c r="J146" s="189"/>
      <c r="K146" s="189"/>
      <c r="L146" s="147"/>
      <c r="M146" s="147"/>
      <c r="N146" s="147"/>
    </row>
    <row r="147" spans="1:14" ht="15">
      <c r="A147" s="147"/>
      <c r="B147" s="198" t="s">
        <v>123</v>
      </c>
      <c r="C147" s="187">
        <v>11398.2399455496</v>
      </c>
      <c r="D147" s="187">
        <v>70338.614896950399</v>
      </c>
      <c r="E147" s="187">
        <v>143492.957829936</v>
      </c>
      <c r="F147" s="330">
        <v>542150.46544561768</v>
      </c>
      <c r="G147" s="189"/>
      <c r="H147" s="189"/>
      <c r="I147" s="189"/>
      <c r="J147" s="189"/>
      <c r="K147" s="189"/>
      <c r="L147" s="147"/>
      <c r="M147" s="147"/>
      <c r="N147" s="147"/>
    </row>
    <row r="148" spans="1:14" ht="15">
      <c r="A148" s="147"/>
      <c r="B148" s="198" t="s">
        <v>1183</v>
      </c>
      <c r="C148" s="187">
        <v>7249.7036469000004</v>
      </c>
      <c r="D148" s="187">
        <v>141841.73121106558</v>
      </c>
      <c r="E148" s="187">
        <v>149153.98132080163</v>
      </c>
      <c r="F148" s="330">
        <v>332013.68285971601</v>
      </c>
      <c r="G148" s="189"/>
      <c r="H148" s="189"/>
      <c r="I148" s="189"/>
      <c r="J148" s="189"/>
      <c r="K148" s="189"/>
      <c r="L148" s="147"/>
      <c r="M148" s="147"/>
      <c r="N148" s="147"/>
    </row>
    <row r="149" spans="1:14" ht="15">
      <c r="A149" s="147"/>
      <c r="B149" s="198" t="s">
        <v>1084</v>
      </c>
      <c r="C149" s="187">
        <v>11509.6863702392</v>
      </c>
      <c r="D149" s="187">
        <v>28772.5101129752</v>
      </c>
      <c r="E149" s="187">
        <v>121875.76306539922</v>
      </c>
      <c r="F149" s="330">
        <v>762502.79122526082</v>
      </c>
      <c r="G149" s="189"/>
      <c r="H149" s="189"/>
      <c r="I149" s="189"/>
      <c r="J149" s="189"/>
      <c r="K149" s="189"/>
      <c r="L149" s="147"/>
      <c r="M149" s="147"/>
      <c r="N149" s="147"/>
    </row>
    <row r="150" spans="1:14" ht="15">
      <c r="A150" s="147"/>
      <c r="B150" s="198" t="s">
        <v>1085</v>
      </c>
      <c r="C150" s="187">
        <v>7060.9270499767999</v>
      </c>
      <c r="D150" s="187">
        <v>41480.814152835206</v>
      </c>
      <c r="E150" s="187">
        <v>50432.918797289596</v>
      </c>
      <c r="F150" s="330">
        <v>762502.79122526082</v>
      </c>
      <c r="G150" s="189"/>
      <c r="H150" s="189"/>
      <c r="I150" s="189"/>
      <c r="J150" s="189"/>
      <c r="K150" s="189"/>
      <c r="L150" s="147"/>
      <c r="M150" s="147"/>
      <c r="N150" s="147"/>
    </row>
    <row r="151" spans="1:14" ht="15">
      <c r="A151" s="147"/>
      <c r="B151" s="198" t="s">
        <v>1137</v>
      </c>
      <c r="C151" s="187">
        <v>4315.705935684</v>
      </c>
      <c r="D151" s="187">
        <v>327811.69776555197</v>
      </c>
      <c r="E151" s="187">
        <v>0</v>
      </c>
      <c r="F151" s="330">
        <v>0</v>
      </c>
      <c r="G151" s="189"/>
      <c r="H151" s="189"/>
      <c r="I151" s="189"/>
      <c r="J151" s="189"/>
      <c r="K151" s="189"/>
      <c r="L151" s="147"/>
      <c r="M151" s="147"/>
      <c r="N151" s="147"/>
    </row>
    <row r="152" spans="1:14" ht="15">
      <c r="A152" s="147"/>
      <c r="B152" s="198" t="s">
        <v>1091</v>
      </c>
      <c r="C152" s="187">
        <v>11509.6863702392</v>
      </c>
      <c r="D152" s="187">
        <v>28772.5101129752</v>
      </c>
      <c r="E152" s="187">
        <v>43160.470982085601</v>
      </c>
      <c r="F152" s="330">
        <v>57546.157434365603</v>
      </c>
      <c r="G152" s="189"/>
      <c r="H152" s="189"/>
      <c r="I152" s="189"/>
      <c r="J152" s="189"/>
      <c r="K152" s="189"/>
      <c r="L152" s="147"/>
      <c r="M152" s="147"/>
      <c r="N152" s="147"/>
    </row>
    <row r="153" spans="1:14" ht="15">
      <c r="A153" s="147"/>
      <c r="B153" s="198" t="s">
        <v>924</v>
      </c>
      <c r="C153" s="187">
        <v>11509.6863702392</v>
      </c>
      <c r="D153" s="187">
        <v>28772.5101129752</v>
      </c>
      <c r="E153" s="187">
        <v>121875.76306539922</v>
      </c>
      <c r="F153" s="330">
        <v>762502.79122526082</v>
      </c>
      <c r="G153" s="189"/>
      <c r="H153" s="189"/>
      <c r="I153" s="189"/>
      <c r="J153" s="189"/>
      <c r="K153" s="189"/>
      <c r="L153" s="147"/>
      <c r="M153" s="147"/>
      <c r="N153" s="147"/>
    </row>
    <row r="154" spans="1:14" ht="15">
      <c r="A154" s="147"/>
      <c r="B154" s="198" t="s">
        <v>1148</v>
      </c>
      <c r="C154" s="187">
        <v>5656.4746572047998</v>
      </c>
      <c r="D154" s="187">
        <v>42741.978285292003</v>
      </c>
      <c r="E154" s="187">
        <v>74640.674331652015</v>
      </c>
      <c r="F154" s="330">
        <v>99518.932448148684</v>
      </c>
      <c r="G154" s="189"/>
      <c r="H154" s="189"/>
      <c r="I154" s="189"/>
      <c r="J154" s="189"/>
      <c r="K154" s="189"/>
      <c r="L154" s="147"/>
      <c r="M154" s="147"/>
    </row>
    <row r="155" spans="1:14" ht="15">
      <c r="A155" s="147"/>
      <c r="B155" s="198" t="s">
        <v>1282</v>
      </c>
      <c r="C155" s="187">
        <v>13666.970733873601</v>
      </c>
      <c r="D155" s="187">
        <v>21579.666886835203</v>
      </c>
      <c r="E155" s="187">
        <v>28772.5101129752</v>
      </c>
      <c r="F155" s="330">
        <v>46037.608272541605</v>
      </c>
      <c r="G155" s="189"/>
      <c r="H155" s="189"/>
      <c r="I155" s="189"/>
      <c r="J155" s="189"/>
      <c r="K155" s="189"/>
      <c r="L155" s="147"/>
      <c r="M155" s="147"/>
    </row>
    <row r="156" spans="1:14" ht="15">
      <c r="A156" s="147"/>
      <c r="B156" s="198" t="s">
        <v>1198</v>
      </c>
      <c r="C156" s="187">
        <v>5043.519321412</v>
      </c>
      <c r="D156" s="187">
        <v>605190.47673381434</v>
      </c>
      <c r="E156" s="187">
        <v>1206598.5982786736</v>
      </c>
      <c r="F156" s="330">
        <v>2143383.1279669954</v>
      </c>
      <c r="G156" s="189"/>
      <c r="H156" s="189"/>
      <c r="I156" s="189"/>
      <c r="J156" s="189"/>
      <c r="K156" s="189"/>
      <c r="L156" s="147"/>
      <c r="M156" s="147"/>
      <c r="N156" s="147"/>
    </row>
    <row r="157" spans="1:14" ht="15.75" thickBot="1">
      <c r="A157" s="147"/>
      <c r="B157" s="202" t="s">
        <v>1204</v>
      </c>
      <c r="C157" s="325">
        <v>4315.705935684</v>
      </c>
      <c r="D157" s="325">
        <v>359667.17989213439</v>
      </c>
      <c r="E157" s="325">
        <v>1078999.265259573</v>
      </c>
      <c r="F157" s="331">
        <v>2143383.1279669954</v>
      </c>
      <c r="G157" s="189"/>
      <c r="H157" s="189"/>
      <c r="I157" s="189"/>
      <c r="J157" s="189"/>
      <c r="K157" s="189"/>
      <c r="L157" s="147"/>
      <c r="M157" s="147"/>
      <c r="N157" s="147"/>
    </row>
    <row r="158" spans="1:14" ht="15">
      <c r="A158" s="147"/>
      <c r="B158" s="192"/>
      <c r="C158" s="193"/>
      <c r="D158" s="193"/>
      <c r="E158" s="193"/>
      <c r="F158" s="193"/>
      <c r="G158" s="189"/>
      <c r="H158" s="189"/>
      <c r="I158" s="189"/>
      <c r="J158" s="189"/>
      <c r="K158" s="189"/>
      <c r="L158" s="147"/>
      <c r="M158" s="147"/>
    </row>
    <row r="159" spans="1:14" ht="15">
      <c r="A159" s="147"/>
      <c r="B159" s="194" t="s">
        <v>1283</v>
      </c>
      <c r="C159" s="193"/>
      <c r="D159" s="193"/>
      <c r="E159" s="193"/>
      <c r="F159" s="193"/>
      <c r="G159" s="189"/>
      <c r="H159" s="189"/>
      <c r="I159" s="189"/>
      <c r="J159" s="189"/>
      <c r="K159" s="189"/>
      <c r="L159" s="147"/>
      <c r="M159" s="147"/>
    </row>
    <row r="160" spans="1:14" ht="15">
      <c r="A160" s="147"/>
      <c r="B160" s="192"/>
      <c r="C160" s="193"/>
      <c r="D160" s="193"/>
      <c r="E160" s="193"/>
      <c r="F160" s="193"/>
      <c r="G160" s="189"/>
      <c r="H160" s="189"/>
      <c r="I160" s="189"/>
      <c r="J160" s="189"/>
      <c r="K160" s="189"/>
      <c r="L160" s="147"/>
      <c r="M160" s="147"/>
      <c r="N160" s="147"/>
    </row>
    <row r="161" spans="1:17" ht="15">
      <c r="A161" s="147"/>
      <c r="B161" s="194" t="s">
        <v>1284</v>
      </c>
      <c r="C161" s="195"/>
      <c r="D161" s="193"/>
      <c r="E161" s="193"/>
      <c r="F161" s="193"/>
      <c r="G161" s="189"/>
      <c r="H161" s="189"/>
      <c r="I161" s="189"/>
      <c r="J161" s="189"/>
      <c r="K161" s="189"/>
      <c r="L161" s="147"/>
      <c r="M161" s="147"/>
    </row>
    <row r="162" spans="1:17" ht="15.75" thickBot="1">
      <c r="A162" s="147"/>
      <c r="B162" s="192"/>
      <c r="C162" s="195"/>
      <c r="D162" s="193"/>
      <c r="E162" s="193"/>
      <c r="F162" s="193"/>
      <c r="G162" s="189"/>
      <c r="H162" s="189"/>
      <c r="I162" s="189"/>
      <c r="J162" s="189"/>
      <c r="K162" s="189"/>
      <c r="L162" s="147"/>
      <c r="M162" s="147"/>
      <c r="N162" s="147"/>
    </row>
    <row r="163" spans="1:17" ht="15">
      <c r="A163" s="147"/>
      <c r="B163" s="196" t="s">
        <v>1285</v>
      </c>
      <c r="C163" s="197">
        <v>21</v>
      </c>
      <c r="D163" s="195"/>
      <c r="E163" s="193"/>
      <c r="F163" s="193"/>
      <c r="G163" s="189"/>
      <c r="H163" s="189"/>
      <c r="I163" s="189"/>
      <c r="J163" s="189"/>
      <c r="K163" s="189"/>
      <c r="L163" s="147"/>
      <c r="M163" s="147"/>
    </row>
    <row r="164" spans="1:17" ht="15">
      <c r="A164" s="147"/>
      <c r="B164" s="198" t="s">
        <v>1286</v>
      </c>
      <c r="C164" s="199">
        <v>20</v>
      </c>
      <c r="D164" s="193"/>
      <c r="E164" s="193"/>
      <c r="F164" s="193"/>
      <c r="G164" s="189"/>
      <c r="H164" s="189"/>
      <c r="I164" s="189"/>
      <c r="J164" s="189"/>
      <c r="K164" s="189"/>
      <c r="L164" s="147"/>
      <c r="M164" s="147"/>
      <c r="N164" s="147"/>
    </row>
    <row r="165" spans="1:17" ht="15">
      <c r="A165" s="147"/>
      <c r="B165" s="198" t="s">
        <v>1287</v>
      </c>
      <c r="C165" s="200">
        <f>+(C163+C164)*8</f>
        <v>328</v>
      </c>
      <c r="D165" s="193"/>
      <c r="E165" s="193"/>
      <c r="F165" s="193"/>
      <c r="G165" s="189"/>
      <c r="H165" s="189"/>
      <c r="I165" s="189"/>
      <c r="J165" s="189"/>
      <c r="K165" s="189"/>
      <c r="L165" s="147"/>
      <c r="M165" s="147"/>
    </row>
    <row r="166" spans="1:17" ht="15">
      <c r="A166" s="147"/>
      <c r="B166" s="198" t="s">
        <v>1288</v>
      </c>
      <c r="C166" s="200">
        <f>+H215</f>
        <v>79062</v>
      </c>
      <c r="D166" s="193"/>
      <c r="E166" s="193"/>
      <c r="F166" s="193"/>
      <c r="G166" s="189"/>
      <c r="H166" s="189"/>
      <c r="I166" s="189"/>
      <c r="J166" s="189"/>
      <c r="K166" s="189"/>
      <c r="L166" s="147"/>
      <c r="M166" s="147"/>
      <c r="N166" s="147"/>
    </row>
    <row r="167" spans="1:17" ht="15">
      <c r="A167" s="147"/>
      <c r="B167" s="198" t="s">
        <v>1289</v>
      </c>
      <c r="C167" s="200">
        <f>+C166/SUM(C163:C164)</f>
        <v>1928.3414634146341</v>
      </c>
      <c r="D167" s="195"/>
      <c r="E167" s="195"/>
      <c r="F167" s="195"/>
      <c r="G167" s="201"/>
      <c r="H167" s="189"/>
      <c r="I167" s="189"/>
      <c r="J167" s="189"/>
      <c r="K167" s="189"/>
      <c r="L167" s="147"/>
      <c r="M167" s="147"/>
    </row>
    <row r="168" spans="1:17" ht="15.75" thickBot="1">
      <c r="A168" s="147"/>
      <c r="B168" s="202" t="s">
        <v>1290</v>
      </c>
      <c r="C168" s="203">
        <v>20</v>
      </c>
      <c r="D168" s="195"/>
      <c r="E168" s="195"/>
      <c r="F168" s="195"/>
      <c r="G168" s="201"/>
      <c r="H168" s="189"/>
      <c r="I168" s="189"/>
      <c r="J168" s="189"/>
      <c r="K168" s="189"/>
      <c r="L168" s="147"/>
      <c r="M168" s="147"/>
      <c r="N168" s="147"/>
    </row>
    <row r="169" spans="1:17" ht="15.75" thickBot="1">
      <c r="A169" s="147"/>
      <c r="B169" s="192"/>
      <c r="C169" s="195"/>
      <c r="D169" s="195"/>
      <c r="E169" s="195"/>
      <c r="F169" s="195"/>
      <c r="G169" s="201"/>
      <c r="H169" s="189"/>
      <c r="I169" s="189"/>
      <c r="J169" s="189"/>
      <c r="K169" s="189"/>
      <c r="L169" s="147"/>
      <c r="M169" s="147"/>
    </row>
    <row r="170" spans="1:17" ht="15.75" thickBot="1">
      <c r="A170" s="147"/>
      <c r="B170" s="204" t="s">
        <v>1219</v>
      </c>
      <c r="C170" s="205" t="s">
        <v>1291</v>
      </c>
      <c r="D170" s="205" t="s">
        <v>1292</v>
      </c>
      <c r="E170" s="205" t="s">
        <v>1293</v>
      </c>
      <c r="F170" s="206" t="s">
        <v>1294</v>
      </c>
      <c r="G170" s="201"/>
      <c r="H170" s="189"/>
      <c r="I170" s="189"/>
      <c r="J170" s="189"/>
      <c r="K170" s="189"/>
      <c r="L170" s="147"/>
      <c r="M170" s="147"/>
      <c r="N170" s="147"/>
    </row>
    <row r="171" spans="1:17" ht="15">
      <c r="A171" s="147"/>
      <c r="B171" s="198" t="s">
        <v>1295</v>
      </c>
      <c r="C171" s="207">
        <v>8</v>
      </c>
      <c r="D171" s="207">
        <v>6</v>
      </c>
      <c r="E171" s="207">
        <v>4</v>
      </c>
      <c r="F171" s="199">
        <f>+C171/3</f>
        <v>2.6666666666666665</v>
      </c>
      <c r="G171" s="208"/>
      <c r="H171" s="189"/>
      <c r="I171" s="189"/>
      <c r="J171" s="189"/>
      <c r="K171" s="189"/>
      <c r="L171" s="147"/>
      <c r="M171" s="147"/>
    </row>
    <row r="172" spans="1:17" ht="15">
      <c r="A172" s="147"/>
      <c r="B172" s="198" t="s">
        <v>1296</v>
      </c>
      <c r="C172" s="209">
        <f>+C171*60</f>
        <v>480</v>
      </c>
      <c r="D172" s="209">
        <f>+D171*60</f>
        <v>360</v>
      </c>
      <c r="E172" s="209">
        <f>+E171*60</f>
        <v>240</v>
      </c>
      <c r="F172" s="200">
        <f>+F171*60</f>
        <v>160</v>
      </c>
      <c r="G172" s="201"/>
      <c r="H172" s="189"/>
      <c r="I172" s="189"/>
      <c r="J172" s="189"/>
      <c r="K172" s="189"/>
      <c r="L172" s="147"/>
      <c r="M172" s="147"/>
      <c r="N172" s="147"/>
    </row>
    <row r="173" spans="1:17" ht="15">
      <c r="A173" s="147"/>
      <c r="B173" s="198" t="s">
        <v>1297</v>
      </c>
      <c r="C173" s="210">
        <f>+C172/$C$168</f>
        <v>24</v>
      </c>
      <c r="D173" s="210">
        <f>+D172/$C$168</f>
        <v>18</v>
      </c>
      <c r="E173" s="210">
        <f>+E172/$C$168</f>
        <v>12</v>
      </c>
      <c r="F173" s="211">
        <f>+F172/$C$168</f>
        <v>8</v>
      </c>
      <c r="G173" s="201"/>
      <c r="H173" s="189"/>
      <c r="I173" s="189"/>
      <c r="J173" s="189"/>
      <c r="K173" s="189"/>
      <c r="L173" s="147"/>
      <c r="M173" s="147"/>
    </row>
    <row r="174" spans="1:17" ht="15.75" thickBot="1">
      <c r="A174" s="147"/>
      <c r="B174" s="212" t="s">
        <v>1298</v>
      </c>
      <c r="C174" s="213">
        <f>+I215/(C173*(SUM($C$163:$C$164)))</f>
        <v>15.117886178861788</v>
      </c>
      <c r="D174" s="214">
        <f>+J215/(D173*(SUM($C$163:$C$164)))</f>
        <v>59.227642276422763</v>
      </c>
      <c r="E174" s="214">
        <f>+K215/(E173*(SUM($C$163:$C$164)))</f>
        <v>30.081300813008131</v>
      </c>
      <c r="F174" s="215">
        <f>+L215/(F173*(SUM($C$163:$C$164)))</f>
        <v>17.304878048780488</v>
      </c>
      <c r="G174" s="201"/>
      <c r="H174" s="189"/>
      <c r="I174" s="189"/>
      <c r="J174" s="189"/>
      <c r="K174" s="189"/>
      <c r="L174" s="147"/>
      <c r="M174" s="147"/>
      <c r="N174" s="147"/>
    </row>
    <row r="175" spans="1:17" ht="15.75" thickBot="1">
      <c r="A175" s="147"/>
      <c r="B175" s="192"/>
      <c r="C175" s="195"/>
      <c r="D175" s="195"/>
      <c r="E175" s="195"/>
      <c r="F175" s="195"/>
      <c r="G175" s="201"/>
      <c r="H175" s="189"/>
      <c r="I175" s="189"/>
      <c r="J175" s="189"/>
      <c r="K175" s="189"/>
      <c r="L175" s="147"/>
      <c r="M175" s="147"/>
      <c r="N175" s="147"/>
    </row>
    <row r="176" spans="1:17" ht="15.75" thickBot="1">
      <c r="A176" s="147"/>
      <c r="B176" s="192"/>
      <c r="C176" s="195"/>
      <c r="D176" s="195"/>
      <c r="E176" s="195"/>
      <c r="F176" s="195"/>
      <c r="G176" s="201"/>
      <c r="H176" s="189"/>
      <c r="I176" s="189"/>
      <c r="J176" s="189"/>
      <c r="K176" s="189"/>
      <c r="L176" s="147"/>
      <c r="M176" s="147"/>
      <c r="N176" s="1257" t="s">
        <v>1299</v>
      </c>
      <c r="O176" s="1258"/>
      <c r="P176" s="1258"/>
      <c r="Q176" s="1259"/>
    </row>
    <row r="177" spans="1:26" ht="30.75" thickBot="1">
      <c r="A177" s="147"/>
      <c r="B177" s="192"/>
      <c r="C177" s="195"/>
      <c r="D177" s="195"/>
      <c r="E177" s="195"/>
      <c r="F177" s="195"/>
      <c r="G177" s="201"/>
      <c r="H177" s="189"/>
      <c r="I177" s="189"/>
      <c r="J177" s="189"/>
      <c r="K177" s="189"/>
      <c r="L177" s="147"/>
      <c r="M177" s="147"/>
      <c r="N177" s="216" t="s">
        <v>1300</v>
      </c>
      <c r="O177" s="217" t="s">
        <v>1301</v>
      </c>
      <c r="P177" s="217" t="s">
        <v>1302</v>
      </c>
      <c r="Q177" s="218" t="s">
        <v>1303</v>
      </c>
    </row>
    <row r="178" spans="1:26" ht="15.75" thickBot="1">
      <c r="A178" s="147"/>
      <c r="B178" s="147"/>
      <c r="C178" s="219"/>
      <c r="D178" s="219"/>
      <c r="E178" s="219"/>
      <c r="F178" s="219"/>
      <c r="G178" s="147"/>
      <c r="H178" s="147"/>
      <c r="I178" s="147"/>
      <c r="J178" s="147"/>
      <c r="K178" s="147"/>
      <c r="L178" s="147"/>
      <c r="M178" s="147"/>
      <c r="N178" s="220">
        <f>+C173*C174</f>
        <v>362.82926829268291</v>
      </c>
      <c r="O178" s="221">
        <f>+D173*D174</f>
        <v>1066.0975609756097</v>
      </c>
      <c r="P178" s="221">
        <f>+E173*E174</f>
        <v>360.97560975609758</v>
      </c>
      <c r="Q178" s="222">
        <f>+F173*F174</f>
        <v>138.4390243902439</v>
      </c>
    </row>
    <row r="179" spans="1:26" ht="13.5" thickBot="1">
      <c r="I179" s="1257" t="s">
        <v>1304</v>
      </c>
      <c r="J179" s="1258"/>
      <c r="K179" s="1258"/>
      <c r="L179" s="1259"/>
      <c r="S179" s="1257" t="s">
        <v>1305</v>
      </c>
      <c r="T179" s="1258"/>
      <c r="U179" s="1258"/>
      <c r="V179" s="1259"/>
      <c r="W179" s="1257" t="s">
        <v>1306</v>
      </c>
      <c r="X179" s="1258"/>
      <c r="Y179" s="1258"/>
      <c r="Z179" s="1259"/>
    </row>
    <row r="180" spans="1:26" ht="42.75" customHeight="1" thickBot="1">
      <c r="B180" s="204" t="s">
        <v>1307</v>
      </c>
      <c r="C180" s="205" t="s">
        <v>1291</v>
      </c>
      <c r="D180" s="205" t="s">
        <v>1292</v>
      </c>
      <c r="E180" s="205" t="s">
        <v>1293</v>
      </c>
      <c r="F180" s="205" t="s">
        <v>1294</v>
      </c>
      <c r="G180" s="223" t="s">
        <v>1308</v>
      </c>
      <c r="H180" s="224" t="s">
        <v>1309</v>
      </c>
      <c r="I180" s="225" t="s">
        <v>1300</v>
      </c>
      <c r="J180" s="226" t="s">
        <v>1301</v>
      </c>
      <c r="K180" s="226" t="s">
        <v>1302</v>
      </c>
      <c r="L180" s="223" t="s">
        <v>1303</v>
      </c>
      <c r="M180" s="227" t="s">
        <v>1310</v>
      </c>
      <c r="N180" s="225" t="str">
        <f>+CONCATENATE("Dias ",I180)</f>
        <v xml:space="preserve">Dias Perimetro Urbano </v>
      </c>
      <c r="O180" s="226" t="str">
        <f>+CONCATENATE("Dias ",J180)</f>
        <v>Dias Hasta dos Horas</v>
      </c>
      <c r="P180" s="226" t="str">
        <f>+CONCATENATE("Dias ",K180)</f>
        <v xml:space="preserve">Dias Entre 2 Horas y 8 Horas </v>
      </c>
      <c r="Q180" s="223" t="str">
        <f>+CONCATENATE("Dias ",L180)</f>
        <v xml:space="preserve">Dias Mas de 8 Horas </v>
      </c>
      <c r="R180" s="227" t="s">
        <v>1311</v>
      </c>
      <c r="S180" s="225" t="s">
        <v>1300</v>
      </c>
      <c r="T180" s="226" t="s">
        <v>1301</v>
      </c>
      <c r="U180" s="226" t="s">
        <v>1302</v>
      </c>
      <c r="V180" s="223" t="s">
        <v>1303</v>
      </c>
      <c r="W180" s="225" t="s">
        <v>1300</v>
      </c>
      <c r="X180" s="226" t="s">
        <v>1301</v>
      </c>
      <c r="Y180" s="226" t="s">
        <v>1302</v>
      </c>
      <c r="Z180" s="223" t="s">
        <v>1303</v>
      </c>
    </row>
    <row r="181" spans="1:26" ht="14.25">
      <c r="B181" s="228" t="s">
        <v>732</v>
      </c>
      <c r="C181" s="229">
        <v>22</v>
      </c>
      <c r="D181" s="229">
        <v>34</v>
      </c>
      <c r="E181" s="229">
        <v>11</v>
      </c>
      <c r="F181" s="229">
        <v>8</v>
      </c>
      <c r="G181" s="230">
        <v>75</v>
      </c>
      <c r="H181" s="231">
        <v>94</v>
      </c>
      <c r="I181" s="232">
        <f>+ROUNDUP(IFERROR((C181/$G181),(C$215/$G$215))*$H181,0)</f>
        <v>28</v>
      </c>
      <c r="J181" s="233">
        <f>+ROUNDUP(IFERROR((D181/$G181),(D$215/$G$215))*$H181,0)</f>
        <v>43</v>
      </c>
      <c r="K181" s="233">
        <f t="shared" ref="K181:L206" si="8">+ROUNDDOWN(IFERROR((E181/$G181),(E$215/$G$215))*$H181,0)</f>
        <v>13</v>
      </c>
      <c r="L181" s="234">
        <f t="shared" si="8"/>
        <v>10</v>
      </c>
      <c r="M181" s="235">
        <f t="shared" ref="M181:M214" si="9">+SUM(I181:L181)</f>
        <v>94</v>
      </c>
      <c r="N181" s="236">
        <f t="shared" ref="N181:Q214" si="10">+(I181/I$215)*C$174</f>
        <v>2.8455284552845527E-2</v>
      </c>
      <c r="O181" s="237">
        <f t="shared" si="10"/>
        <v>5.8265582655826556E-2</v>
      </c>
      <c r="P181" s="237">
        <f t="shared" si="10"/>
        <v>2.6422764227642278E-2</v>
      </c>
      <c r="Q181" s="238">
        <f t="shared" si="10"/>
        <v>3.048780487804878E-2</v>
      </c>
      <c r="R181" s="239">
        <f t="shared" ref="R181:R214" si="11">+SUM(N181:Q181)</f>
        <v>0.14363143631436315</v>
      </c>
      <c r="S181" s="240">
        <f t="shared" ref="S181:V214" si="12">+(N181*C125)*($C$163+$C$164)</f>
        <v>5034.9902582980003</v>
      </c>
      <c r="T181" s="240">
        <f t="shared" si="12"/>
        <v>859204.92974232102</v>
      </c>
      <c r="U181" s="241">
        <f t="shared" si="12"/>
        <v>1168915.8706978709</v>
      </c>
      <c r="V181" s="242">
        <f t="shared" si="12"/>
        <v>2679228.909958744</v>
      </c>
      <c r="W181" s="240">
        <f t="shared" ref="W181:W214" si="13">+(N181*G$85)*($C$163+$C$164)</f>
        <v>0</v>
      </c>
      <c r="X181" s="241">
        <f t="shared" ref="X181:X214" si="14">+(O181*H$85)*($C$163+$C$164)</f>
        <v>170017.30622018996</v>
      </c>
      <c r="Y181" s="241">
        <f t="shared" ref="Y181:Y214" si="15">+(P181*I$85)*($C$163+$C$164)</f>
        <v>231302.61427630499</v>
      </c>
      <c r="Z181" s="242">
        <f t="shared" ref="Z181:Z214" si="16">+(Q181*J$85)*($C$163+$C$164)</f>
        <v>444812.71976212494</v>
      </c>
    </row>
    <row r="182" spans="1:26" ht="14.25">
      <c r="B182" s="243" t="s">
        <v>47</v>
      </c>
      <c r="C182" s="244">
        <v>761</v>
      </c>
      <c r="D182" s="244">
        <v>4610</v>
      </c>
      <c r="E182" s="244">
        <v>1192</v>
      </c>
      <c r="F182" s="244">
        <v>277</v>
      </c>
      <c r="G182" s="245">
        <v>6840</v>
      </c>
      <c r="H182" s="246">
        <v>7903</v>
      </c>
      <c r="I182" s="247">
        <f t="shared" ref="I182:J214" si="17">+ROUNDUP(IFERROR((C182/$G182),(C$215/$G$215))*$H182,0)</f>
        <v>880</v>
      </c>
      <c r="J182" s="248">
        <f>+ROUNDDOWN(IFERROR((D182/$G182),(D$215/$G$215))*$H182,0)</f>
        <v>5326</v>
      </c>
      <c r="K182" s="248">
        <f t="shared" si="8"/>
        <v>1377</v>
      </c>
      <c r="L182" s="249">
        <f t="shared" si="8"/>
        <v>320</v>
      </c>
      <c r="M182" s="250">
        <f t="shared" si="9"/>
        <v>7903</v>
      </c>
      <c r="N182" s="236">
        <f t="shared" si="10"/>
        <v>0.89430894308943087</v>
      </c>
      <c r="O182" s="251">
        <f t="shared" si="10"/>
        <v>7.2168021680216796</v>
      </c>
      <c r="P182" s="251">
        <f t="shared" si="10"/>
        <v>2.7987804878048781</v>
      </c>
      <c r="Q182" s="252">
        <f t="shared" si="10"/>
        <v>0.97560975609756095</v>
      </c>
      <c r="R182" s="253">
        <f t="shared" si="11"/>
        <v>11.885501355013549</v>
      </c>
      <c r="S182" s="240">
        <f t="shared" si="12"/>
        <v>609994.80321856262</v>
      </c>
      <c r="T182" s="254">
        <f t="shared" si="12"/>
        <v>6385183.6577380151</v>
      </c>
      <c r="U182" s="254">
        <f t="shared" si="12"/>
        <v>8444831.7924987562</v>
      </c>
      <c r="V182" s="255">
        <f t="shared" si="12"/>
        <v>3505058.2889928315</v>
      </c>
      <c r="W182" s="240">
        <f t="shared" si="13"/>
        <v>0</v>
      </c>
      <c r="X182" s="254">
        <f t="shared" si="14"/>
        <v>21058422.626249574</v>
      </c>
      <c r="Y182" s="254">
        <f t="shared" si="15"/>
        <v>24500284.604497842</v>
      </c>
      <c r="Z182" s="255">
        <f t="shared" si="16"/>
        <v>14234007.032387998</v>
      </c>
    </row>
    <row r="183" spans="1:26" ht="14.25">
      <c r="B183" s="243" t="s">
        <v>700</v>
      </c>
      <c r="C183" s="244">
        <v>116</v>
      </c>
      <c r="D183" s="244">
        <v>74</v>
      </c>
      <c r="E183" s="244">
        <v>13</v>
      </c>
      <c r="F183" s="244">
        <v>31</v>
      </c>
      <c r="G183" s="245">
        <v>234</v>
      </c>
      <c r="H183" s="256">
        <v>283</v>
      </c>
      <c r="I183" s="247">
        <f t="shared" si="17"/>
        <v>141</v>
      </c>
      <c r="J183" s="248">
        <f>+ROUNDUP(IFERROR((D183/$G183),(D$215/$G$215))*$H183,0)</f>
        <v>90</v>
      </c>
      <c r="K183" s="248">
        <f t="shared" si="8"/>
        <v>15</v>
      </c>
      <c r="L183" s="249">
        <f t="shared" si="8"/>
        <v>37</v>
      </c>
      <c r="M183" s="250">
        <f t="shared" si="9"/>
        <v>283</v>
      </c>
      <c r="N183" s="236">
        <f t="shared" si="10"/>
        <v>0.14329268292682928</v>
      </c>
      <c r="O183" s="251">
        <f t="shared" si="10"/>
        <v>0.12195121951219513</v>
      </c>
      <c r="P183" s="251">
        <f t="shared" si="10"/>
        <v>3.0487804878048783E-2</v>
      </c>
      <c r="Q183" s="252">
        <f t="shared" si="10"/>
        <v>0.11280487804878049</v>
      </c>
      <c r="R183" s="253">
        <f t="shared" si="11"/>
        <v>0.40853658536585369</v>
      </c>
      <c r="S183" s="240">
        <f t="shared" si="12"/>
        <v>25354.7723721435</v>
      </c>
      <c r="T183" s="254">
        <f t="shared" si="12"/>
        <v>1798335.8994606719</v>
      </c>
      <c r="U183" s="254">
        <f t="shared" si="12"/>
        <v>1348749.0815744663</v>
      </c>
      <c r="V183" s="255">
        <f t="shared" si="12"/>
        <v>9913146.9668473527</v>
      </c>
      <c r="W183" s="240">
        <f t="shared" si="13"/>
        <v>0</v>
      </c>
      <c r="X183" s="254">
        <f t="shared" si="14"/>
        <v>355850.17580969998</v>
      </c>
      <c r="Y183" s="254">
        <f t="shared" si="15"/>
        <v>266887.63185727497</v>
      </c>
      <c r="Z183" s="255">
        <f t="shared" si="16"/>
        <v>1645807.0631198622</v>
      </c>
    </row>
    <row r="184" spans="1:26" ht="14.25">
      <c r="B184" s="243" t="s">
        <v>131</v>
      </c>
      <c r="C184" s="244">
        <v>531</v>
      </c>
      <c r="D184" s="244">
        <v>3606</v>
      </c>
      <c r="E184" s="244">
        <v>252</v>
      </c>
      <c r="F184" s="244">
        <v>19</v>
      </c>
      <c r="G184" s="245">
        <v>4408</v>
      </c>
      <c r="H184" s="246">
        <v>4484</v>
      </c>
      <c r="I184" s="247">
        <f t="shared" si="17"/>
        <v>541</v>
      </c>
      <c r="J184" s="248">
        <f>+ROUNDDOWN(IFERROR((D184/$G184),(D$215/$G$215))*$H184,0)</f>
        <v>3668</v>
      </c>
      <c r="K184" s="248">
        <f t="shared" si="8"/>
        <v>256</v>
      </c>
      <c r="L184" s="249">
        <f t="shared" si="8"/>
        <v>19</v>
      </c>
      <c r="M184" s="250">
        <f t="shared" si="9"/>
        <v>4484</v>
      </c>
      <c r="N184" s="236">
        <f t="shared" si="10"/>
        <v>0.54979674796747968</v>
      </c>
      <c r="O184" s="251">
        <f t="shared" si="10"/>
        <v>4.9701897018970191</v>
      </c>
      <c r="P184" s="251">
        <f t="shared" si="10"/>
        <v>0.52032520325203258</v>
      </c>
      <c r="Q184" s="252">
        <f t="shared" si="10"/>
        <v>5.7926829268292686E-2</v>
      </c>
      <c r="R184" s="253">
        <f t="shared" si="11"/>
        <v>6.0982384823848239</v>
      </c>
      <c r="S184" s="240">
        <f t="shared" si="12"/>
        <v>259447.51359580862</v>
      </c>
      <c r="T184" s="254">
        <f t="shared" si="12"/>
        <v>5863198.1719107237</v>
      </c>
      <c r="U184" s="254">
        <f t="shared" si="12"/>
        <v>920732.45383830206</v>
      </c>
      <c r="V184" s="255">
        <f t="shared" si="12"/>
        <v>136672.1239066183</v>
      </c>
      <c r="W184" s="240">
        <f t="shared" si="13"/>
        <v>0</v>
      </c>
      <c r="X184" s="254">
        <f t="shared" si="14"/>
        <v>14502871.609666437</v>
      </c>
      <c r="Y184" s="254">
        <f t="shared" si="15"/>
        <v>4554882.2503641602</v>
      </c>
      <c r="Z184" s="255">
        <f t="shared" si="16"/>
        <v>845144.16754803737</v>
      </c>
    </row>
    <row r="185" spans="1:26" ht="14.25">
      <c r="B185" s="243" t="s">
        <v>754</v>
      </c>
      <c r="C185" s="244">
        <v>1527</v>
      </c>
      <c r="D185" s="244">
        <v>5201</v>
      </c>
      <c r="E185" s="244">
        <v>0</v>
      </c>
      <c r="F185" s="244">
        <v>28</v>
      </c>
      <c r="G185" s="245">
        <v>6756</v>
      </c>
      <c r="H185" s="246">
        <v>6774</v>
      </c>
      <c r="I185" s="247">
        <f t="shared" si="17"/>
        <v>1532</v>
      </c>
      <c r="J185" s="248">
        <f>+ROUNDDOWN(IFERROR((D185/$G185),(D$215/$G$215))*$H185,0)</f>
        <v>5214</v>
      </c>
      <c r="K185" s="248">
        <f t="shared" si="8"/>
        <v>0</v>
      </c>
      <c r="L185" s="249">
        <f t="shared" si="8"/>
        <v>28</v>
      </c>
      <c r="M185" s="250">
        <f t="shared" si="9"/>
        <v>6774</v>
      </c>
      <c r="N185" s="236">
        <f t="shared" si="10"/>
        <v>1.5569105691056908</v>
      </c>
      <c r="O185" s="251">
        <f t="shared" si="10"/>
        <v>7.0650406504065044</v>
      </c>
      <c r="P185" s="251">
        <f t="shared" si="10"/>
        <v>0</v>
      </c>
      <c r="Q185" s="252">
        <f t="shared" si="10"/>
        <v>8.5365853658536578E-2</v>
      </c>
      <c r="R185" s="253">
        <f t="shared" si="11"/>
        <v>8.7073170731707314</v>
      </c>
      <c r="S185" s="240">
        <f t="shared" si="12"/>
        <v>1061945.4983304974</v>
      </c>
      <c r="T185" s="254">
        <f t="shared" si="12"/>
        <v>6250910.1748865983</v>
      </c>
      <c r="U185" s="254">
        <f t="shared" si="12"/>
        <v>0</v>
      </c>
      <c r="V185" s="255">
        <f t="shared" si="12"/>
        <v>0</v>
      </c>
      <c r="W185" s="240">
        <f t="shared" si="13"/>
        <v>0</v>
      </c>
      <c r="X185" s="254">
        <f t="shared" si="14"/>
        <v>20615586.851908617</v>
      </c>
      <c r="Y185" s="254">
        <f t="shared" si="15"/>
        <v>0</v>
      </c>
      <c r="Z185" s="255">
        <f t="shared" si="16"/>
        <v>1245475.6153339497</v>
      </c>
    </row>
    <row r="186" spans="1:26" ht="14.25">
      <c r="B186" s="243" t="s">
        <v>155</v>
      </c>
      <c r="C186" s="244">
        <v>703</v>
      </c>
      <c r="D186" s="244">
        <v>3431</v>
      </c>
      <c r="E186" s="244">
        <v>976</v>
      </c>
      <c r="F186" s="244">
        <v>155</v>
      </c>
      <c r="G186" s="245">
        <v>5265</v>
      </c>
      <c r="H186" s="246">
        <v>5386</v>
      </c>
      <c r="I186" s="247">
        <f t="shared" si="17"/>
        <v>720</v>
      </c>
      <c r="J186" s="248">
        <f>+ROUNDUP(IFERROR((D186/$G186),(D$215/$G$215))*$H186,0)</f>
        <v>3510</v>
      </c>
      <c r="K186" s="248">
        <f t="shared" si="8"/>
        <v>998</v>
      </c>
      <c r="L186" s="249">
        <f t="shared" si="8"/>
        <v>158</v>
      </c>
      <c r="M186" s="250">
        <f t="shared" si="9"/>
        <v>5386</v>
      </c>
      <c r="N186" s="236">
        <f t="shared" si="10"/>
        <v>0.73170731707317072</v>
      </c>
      <c r="O186" s="251">
        <f t="shared" si="10"/>
        <v>4.7560975609756095</v>
      </c>
      <c r="P186" s="251">
        <f t="shared" si="10"/>
        <v>2.0284552845528458</v>
      </c>
      <c r="Q186" s="252">
        <f t="shared" si="10"/>
        <v>0.48170731707317072</v>
      </c>
      <c r="R186" s="253">
        <f t="shared" si="11"/>
        <v>7.9979674796747959</v>
      </c>
      <c r="S186" s="240">
        <f t="shared" si="12"/>
        <v>345290.59110717598</v>
      </c>
      <c r="T186" s="254">
        <f t="shared" si="12"/>
        <v>5610639.4720301647</v>
      </c>
      <c r="U186" s="254">
        <f t="shared" si="12"/>
        <v>3589512.5033434527</v>
      </c>
      <c r="V186" s="255">
        <f t="shared" si="12"/>
        <v>1136536.6093287207</v>
      </c>
      <c r="W186" s="240">
        <f t="shared" si="13"/>
        <v>0</v>
      </c>
      <c r="X186" s="254">
        <f t="shared" si="14"/>
        <v>13878156.856578298</v>
      </c>
      <c r="Y186" s="254">
        <f t="shared" si="15"/>
        <v>17756923.772904031</v>
      </c>
      <c r="Z186" s="255">
        <f t="shared" si="16"/>
        <v>7028040.972241573</v>
      </c>
    </row>
    <row r="187" spans="1:26" ht="14.25">
      <c r="B187" s="243" t="s">
        <v>185</v>
      </c>
      <c r="C187" s="244">
        <v>428</v>
      </c>
      <c r="D187" s="244">
        <v>1242</v>
      </c>
      <c r="E187" s="244">
        <v>463</v>
      </c>
      <c r="F187" s="244">
        <v>353</v>
      </c>
      <c r="G187" s="245">
        <v>2486</v>
      </c>
      <c r="H187" s="246">
        <v>2509</v>
      </c>
      <c r="I187" s="247">
        <f t="shared" si="17"/>
        <v>432</v>
      </c>
      <c r="J187" s="248">
        <f>+ROUNDUP(IFERROR((D187/$G187),(D$215/$G$215))*$H187,0)</f>
        <v>1254</v>
      </c>
      <c r="K187" s="248">
        <f t="shared" si="8"/>
        <v>467</v>
      </c>
      <c r="L187" s="249">
        <f t="shared" si="8"/>
        <v>356</v>
      </c>
      <c r="M187" s="250">
        <f t="shared" si="9"/>
        <v>2509</v>
      </c>
      <c r="N187" s="236">
        <f t="shared" si="10"/>
        <v>0.43902439024390238</v>
      </c>
      <c r="O187" s="251">
        <f t="shared" si="10"/>
        <v>1.6991869918699187</v>
      </c>
      <c r="P187" s="251">
        <f t="shared" si="10"/>
        <v>0.94918699186991862</v>
      </c>
      <c r="Q187" s="252">
        <f t="shared" si="10"/>
        <v>1.0853658536585364</v>
      </c>
      <c r="R187" s="253">
        <f t="shared" si="11"/>
        <v>4.1727642276422765</v>
      </c>
      <c r="S187" s="240">
        <f t="shared" si="12"/>
        <v>151373.81214727196</v>
      </c>
      <c r="T187" s="254">
        <f t="shared" si="12"/>
        <v>4007543.6830552178</v>
      </c>
      <c r="U187" s="254">
        <f t="shared" si="12"/>
        <v>3038818.7596786441</v>
      </c>
      <c r="V187" s="255">
        <f t="shared" si="12"/>
        <v>6321319.1071705529</v>
      </c>
      <c r="W187" s="240">
        <f t="shared" si="13"/>
        <v>0</v>
      </c>
      <c r="X187" s="254">
        <f t="shared" si="14"/>
        <v>4958179.1162818195</v>
      </c>
      <c r="Y187" s="254">
        <f t="shared" si="15"/>
        <v>8309101.6051564943</v>
      </c>
      <c r="Z187" s="255">
        <f t="shared" si="16"/>
        <v>15835332.823531644</v>
      </c>
    </row>
    <row r="188" spans="1:26" ht="14.25">
      <c r="B188" s="243" t="s">
        <v>217</v>
      </c>
      <c r="C188" s="244">
        <v>978</v>
      </c>
      <c r="D188" s="244">
        <v>214</v>
      </c>
      <c r="E188" s="244">
        <v>107</v>
      </c>
      <c r="F188" s="244">
        <v>279</v>
      </c>
      <c r="G188" s="245">
        <v>1578</v>
      </c>
      <c r="H188" s="246">
        <v>1890</v>
      </c>
      <c r="I188" s="247">
        <f t="shared" si="17"/>
        <v>1172</v>
      </c>
      <c r="J188" s="248">
        <f>+ROUNDDOWN(IFERROR((D188/$G188),(D$215/$G$215))*$H188,0)</f>
        <v>256</v>
      </c>
      <c r="K188" s="248">
        <f t="shared" si="8"/>
        <v>128</v>
      </c>
      <c r="L188" s="249">
        <f t="shared" si="8"/>
        <v>334</v>
      </c>
      <c r="M188" s="250">
        <f t="shared" si="9"/>
        <v>1890</v>
      </c>
      <c r="N188" s="236">
        <f t="shared" si="10"/>
        <v>1.1910569105691058</v>
      </c>
      <c r="O188" s="251">
        <f t="shared" si="10"/>
        <v>0.34688346883468835</v>
      </c>
      <c r="P188" s="251">
        <f t="shared" si="10"/>
        <v>0.26016260162601629</v>
      </c>
      <c r="Q188" s="252">
        <f t="shared" si="10"/>
        <v>1.0182926829268293</v>
      </c>
      <c r="R188" s="253">
        <f t="shared" si="11"/>
        <v>2.8163956639566399</v>
      </c>
      <c r="S188" s="240">
        <f t="shared" si="12"/>
        <v>246291.86019561937</v>
      </c>
      <c r="T188" s="254">
        <f t="shared" si="12"/>
        <v>280935.96689100796</v>
      </c>
      <c r="U188" s="254">
        <f t="shared" si="12"/>
        <v>532565.31478336861</v>
      </c>
      <c r="V188" s="255">
        <f t="shared" si="12"/>
        <v>18950026.802727561</v>
      </c>
      <c r="W188" s="240">
        <f t="shared" si="13"/>
        <v>0</v>
      </c>
      <c r="X188" s="254">
        <f t="shared" si="14"/>
        <v>1012196.0556364798</v>
      </c>
      <c r="Y188" s="254">
        <f t="shared" si="15"/>
        <v>2277441.1251820801</v>
      </c>
      <c r="Z188" s="255">
        <f t="shared" si="16"/>
        <v>14856744.84005497</v>
      </c>
    </row>
    <row r="189" spans="1:26" ht="14.25">
      <c r="B189" s="243" t="s">
        <v>245</v>
      </c>
      <c r="C189" s="244">
        <v>214</v>
      </c>
      <c r="D189" s="244">
        <v>227</v>
      </c>
      <c r="E189" s="244">
        <v>68</v>
      </c>
      <c r="F189" s="244">
        <v>70</v>
      </c>
      <c r="G189" s="245">
        <v>579</v>
      </c>
      <c r="H189" s="256">
        <v>624</v>
      </c>
      <c r="I189" s="247">
        <f t="shared" si="17"/>
        <v>231</v>
      </c>
      <c r="J189" s="248">
        <f t="shared" si="17"/>
        <v>245</v>
      </c>
      <c r="K189" s="248">
        <f t="shared" si="8"/>
        <v>73</v>
      </c>
      <c r="L189" s="249">
        <f t="shared" si="8"/>
        <v>75</v>
      </c>
      <c r="M189" s="250">
        <f t="shared" si="9"/>
        <v>624</v>
      </c>
      <c r="N189" s="236">
        <f t="shared" si="10"/>
        <v>0.2347560975609756</v>
      </c>
      <c r="O189" s="251">
        <f t="shared" si="10"/>
        <v>0.33197831978319781</v>
      </c>
      <c r="P189" s="251">
        <f t="shared" si="10"/>
        <v>0.1483739837398374</v>
      </c>
      <c r="Q189" s="252">
        <f t="shared" si="10"/>
        <v>0.22865853658536586</v>
      </c>
      <c r="R189" s="253">
        <f t="shared" si="11"/>
        <v>0.94376693766937658</v>
      </c>
      <c r="S189" s="240">
        <f t="shared" si="12"/>
        <v>84949.042162284299</v>
      </c>
      <c r="T189" s="254">
        <f t="shared" si="12"/>
        <v>748223.43375980202</v>
      </c>
      <c r="U189" s="254">
        <f t="shared" si="12"/>
        <v>979646.67299615301</v>
      </c>
      <c r="V189" s="255">
        <f t="shared" si="12"/>
        <v>3900639.079241191</v>
      </c>
      <c r="W189" s="240">
        <f t="shared" si="13"/>
        <v>0</v>
      </c>
      <c r="X189" s="254">
        <f t="shared" si="14"/>
        <v>968703.25637084979</v>
      </c>
      <c r="Y189" s="254">
        <f t="shared" si="15"/>
        <v>1298853.141705405</v>
      </c>
      <c r="Z189" s="255">
        <f t="shared" si="16"/>
        <v>3336095.3982159365</v>
      </c>
    </row>
    <row r="190" spans="1:26" ht="14.25">
      <c r="B190" s="243" t="s">
        <v>706</v>
      </c>
      <c r="C190" s="244">
        <v>74</v>
      </c>
      <c r="D190" s="244">
        <v>104</v>
      </c>
      <c r="E190" s="244">
        <v>8</v>
      </c>
      <c r="F190" s="244">
        <v>2</v>
      </c>
      <c r="G190" s="245">
        <v>188</v>
      </c>
      <c r="H190" s="256">
        <v>261</v>
      </c>
      <c r="I190" s="247">
        <f t="shared" si="17"/>
        <v>103</v>
      </c>
      <c r="J190" s="248">
        <f t="shared" si="17"/>
        <v>145</v>
      </c>
      <c r="K190" s="248">
        <f t="shared" si="8"/>
        <v>11</v>
      </c>
      <c r="L190" s="249">
        <f t="shared" si="8"/>
        <v>2</v>
      </c>
      <c r="M190" s="250">
        <f t="shared" si="9"/>
        <v>261</v>
      </c>
      <c r="N190" s="236">
        <f t="shared" si="10"/>
        <v>0.10467479674796748</v>
      </c>
      <c r="O190" s="251">
        <f t="shared" si="10"/>
        <v>0.19647696476964768</v>
      </c>
      <c r="P190" s="251">
        <f t="shared" si="10"/>
        <v>2.2357723577235773E-2</v>
      </c>
      <c r="Q190" s="252">
        <f t="shared" si="10"/>
        <v>6.0975609756097563E-3</v>
      </c>
      <c r="R190" s="253">
        <f t="shared" si="11"/>
        <v>0.32960704607046065</v>
      </c>
      <c r="S190" s="240">
        <f t="shared" si="12"/>
        <v>43290.207508786334</v>
      </c>
      <c r="T190" s="254">
        <f t="shared" si="12"/>
        <v>1594582.5836005143</v>
      </c>
      <c r="U190" s="254">
        <f t="shared" si="12"/>
        <v>462298.62831867958</v>
      </c>
      <c r="V190" s="255">
        <f t="shared" si="12"/>
        <v>252162.88817382525</v>
      </c>
      <c r="W190" s="240">
        <f t="shared" si="13"/>
        <v>0</v>
      </c>
      <c r="X190" s="254">
        <f t="shared" si="14"/>
        <v>573314.17213784985</v>
      </c>
      <c r="Y190" s="254">
        <f t="shared" si="15"/>
        <v>195717.596695335</v>
      </c>
      <c r="Z190" s="255">
        <f t="shared" si="16"/>
        <v>88962.543952424996</v>
      </c>
    </row>
    <row r="191" spans="1:26" ht="14.25">
      <c r="B191" s="243" t="s">
        <v>259</v>
      </c>
      <c r="C191" s="244">
        <v>423</v>
      </c>
      <c r="D191" s="244">
        <v>645</v>
      </c>
      <c r="E191" s="244">
        <v>1912</v>
      </c>
      <c r="F191" s="244">
        <v>482</v>
      </c>
      <c r="G191" s="245">
        <v>3462</v>
      </c>
      <c r="H191" s="246">
        <v>3539</v>
      </c>
      <c r="I191" s="247">
        <f t="shared" si="17"/>
        <v>433</v>
      </c>
      <c r="J191" s="248">
        <f t="shared" si="17"/>
        <v>660</v>
      </c>
      <c r="K191" s="248">
        <f t="shared" si="8"/>
        <v>1954</v>
      </c>
      <c r="L191" s="249">
        <f t="shared" si="8"/>
        <v>492</v>
      </c>
      <c r="M191" s="250">
        <f t="shared" si="9"/>
        <v>3539</v>
      </c>
      <c r="N191" s="236">
        <f t="shared" si="10"/>
        <v>0.44004065040650409</v>
      </c>
      <c r="O191" s="251">
        <f t="shared" si="10"/>
        <v>0.89430894308943087</v>
      </c>
      <c r="P191" s="251">
        <f t="shared" si="10"/>
        <v>3.971544715447155</v>
      </c>
      <c r="Q191" s="252">
        <f t="shared" si="10"/>
        <v>1.5</v>
      </c>
      <c r="R191" s="253">
        <f t="shared" si="11"/>
        <v>6.8058943089430901</v>
      </c>
      <c r="S191" s="240">
        <f t="shared" si="12"/>
        <v>272959.96613626694</v>
      </c>
      <c r="T191" s="254">
        <f t="shared" si="12"/>
        <v>4264709.7196517149</v>
      </c>
      <c r="U191" s="254">
        <f t="shared" si="12"/>
        <v>20119681.574593212</v>
      </c>
      <c r="V191" s="255">
        <f t="shared" si="12"/>
        <v>15594146.660734357</v>
      </c>
      <c r="W191" s="240">
        <f t="shared" si="13"/>
        <v>0</v>
      </c>
      <c r="X191" s="254">
        <f t="shared" si="14"/>
        <v>2609567.9559377995</v>
      </c>
      <c r="Y191" s="254">
        <f t="shared" si="15"/>
        <v>34766562.176607691</v>
      </c>
      <c r="Z191" s="255">
        <f t="shared" si="16"/>
        <v>21884785.812296543</v>
      </c>
    </row>
    <row r="192" spans="1:26" ht="14.25">
      <c r="B192" s="243" t="s">
        <v>293</v>
      </c>
      <c r="C192" s="244">
        <v>228</v>
      </c>
      <c r="D192" s="244">
        <v>2016</v>
      </c>
      <c r="E192" s="244">
        <v>485</v>
      </c>
      <c r="F192" s="244">
        <v>123</v>
      </c>
      <c r="G192" s="245">
        <v>2852</v>
      </c>
      <c r="H192" s="246">
        <v>3068</v>
      </c>
      <c r="I192" s="247">
        <f t="shared" si="17"/>
        <v>246</v>
      </c>
      <c r="J192" s="248">
        <f t="shared" si="17"/>
        <v>2169</v>
      </c>
      <c r="K192" s="248">
        <f t="shared" si="8"/>
        <v>521</v>
      </c>
      <c r="L192" s="249">
        <f t="shared" si="8"/>
        <v>132</v>
      </c>
      <c r="M192" s="250">
        <f t="shared" si="9"/>
        <v>3068</v>
      </c>
      <c r="N192" s="236">
        <f t="shared" si="10"/>
        <v>0.25</v>
      </c>
      <c r="O192" s="251">
        <f t="shared" si="10"/>
        <v>2.9390243902439024</v>
      </c>
      <c r="P192" s="251">
        <f t="shared" si="10"/>
        <v>1.0589430894308944</v>
      </c>
      <c r="Q192" s="252">
        <f t="shared" si="10"/>
        <v>0.40243902439024387</v>
      </c>
      <c r="R192" s="253">
        <f t="shared" si="11"/>
        <v>4.6504065040650406</v>
      </c>
      <c r="S192" s="240">
        <f t="shared" si="12"/>
        <v>117974.2852949518</v>
      </c>
      <c r="T192" s="254">
        <f t="shared" si="12"/>
        <v>3467087.4686135119</v>
      </c>
      <c r="U192" s="254">
        <f t="shared" si="12"/>
        <v>5291439.3797560837</v>
      </c>
      <c r="V192" s="255">
        <f t="shared" si="12"/>
        <v>12581296.055216802</v>
      </c>
      <c r="W192" s="240">
        <f t="shared" si="13"/>
        <v>0</v>
      </c>
      <c r="X192" s="254">
        <f t="shared" si="14"/>
        <v>8575989.2370137684</v>
      </c>
      <c r="Y192" s="254">
        <f t="shared" si="15"/>
        <v>9269897.0798426848</v>
      </c>
      <c r="Z192" s="255">
        <f t="shared" si="16"/>
        <v>5871527.9008600479</v>
      </c>
    </row>
    <row r="193" spans="2:26" ht="14.25">
      <c r="B193" s="243" t="s">
        <v>391</v>
      </c>
      <c r="C193" s="244">
        <v>245</v>
      </c>
      <c r="D193" s="244">
        <v>617</v>
      </c>
      <c r="E193" s="244">
        <v>429</v>
      </c>
      <c r="F193" s="244">
        <v>294</v>
      </c>
      <c r="G193" s="245">
        <v>1585</v>
      </c>
      <c r="H193" s="246">
        <v>1614</v>
      </c>
      <c r="I193" s="247">
        <f t="shared" si="17"/>
        <v>250</v>
      </c>
      <c r="J193" s="248">
        <f t="shared" si="17"/>
        <v>629</v>
      </c>
      <c r="K193" s="248">
        <f t="shared" si="8"/>
        <v>436</v>
      </c>
      <c r="L193" s="249">
        <f t="shared" si="8"/>
        <v>299</v>
      </c>
      <c r="M193" s="250">
        <f t="shared" si="9"/>
        <v>1614</v>
      </c>
      <c r="N193" s="236">
        <f t="shared" si="10"/>
        <v>0.25406504065040653</v>
      </c>
      <c r="O193" s="251">
        <f t="shared" si="10"/>
        <v>0.85230352303523038</v>
      </c>
      <c r="P193" s="251">
        <f t="shared" si="10"/>
        <v>0.88617886178861793</v>
      </c>
      <c r="Q193" s="252">
        <f t="shared" si="10"/>
        <v>0.91158536585365857</v>
      </c>
      <c r="R193" s="253">
        <f t="shared" si="11"/>
        <v>2.9041327913279131</v>
      </c>
      <c r="S193" s="240">
        <f t="shared" si="12"/>
        <v>119892.56635665835</v>
      </c>
      <c r="T193" s="254">
        <f t="shared" si="12"/>
        <v>7820379.9114107387</v>
      </c>
      <c r="U193" s="254">
        <f t="shared" si="12"/>
        <v>38083617.428537793</v>
      </c>
      <c r="V193" s="255">
        <f t="shared" si="12"/>
        <v>81287047.121879131</v>
      </c>
      <c r="W193" s="240">
        <f t="shared" si="13"/>
        <v>0</v>
      </c>
      <c r="X193" s="254">
        <f t="shared" si="14"/>
        <v>2486997.3398255697</v>
      </c>
      <c r="Y193" s="254">
        <f t="shared" si="15"/>
        <v>7757533.8326514596</v>
      </c>
      <c r="Z193" s="255">
        <f t="shared" si="16"/>
        <v>13299900.320887536</v>
      </c>
    </row>
    <row r="194" spans="2:26" ht="14.25">
      <c r="B194" s="243" t="s">
        <v>317</v>
      </c>
      <c r="C194" s="244">
        <v>398</v>
      </c>
      <c r="D194" s="244">
        <v>2677</v>
      </c>
      <c r="E194" s="244">
        <v>1753</v>
      </c>
      <c r="F194" s="244">
        <v>192</v>
      </c>
      <c r="G194" s="245">
        <v>5020</v>
      </c>
      <c r="H194" s="246">
        <v>5237</v>
      </c>
      <c r="I194" s="247">
        <f t="shared" si="17"/>
        <v>416</v>
      </c>
      <c r="J194" s="248">
        <f t="shared" si="17"/>
        <v>2793</v>
      </c>
      <c r="K194" s="248">
        <f t="shared" si="8"/>
        <v>1828</v>
      </c>
      <c r="L194" s="249">
        <f t="shared" si="8"/>
        <v>200</v>
      </c>
      <c r="M194" s="250">
        <f t="shared" si="9"/>
        <v>5237</v>
      </c>
      <c r="N194" s="236">
        <f t="shared" si="10"/>
        <v>0.42276422764227645</v>
      </c>
      <c r="O194" s="251">
        <f t="shared" si="10"/>
        <v>3.7845528455284554</v>
      </c>
      <c r="P194" s="251">
        <f t="shared" si="10"/>
        <v>3.7154471544715451</v>
      </c>
      <c r="Q194" s="252">
        <f t="shared" si="10"/>
        <v>0.6097560975609756</v>
      </c>
      <c r="R194" s="253">
        <f t="shared" si="11"/>
        <v>8.5325203252032527</v>
      </c>
      <c r="S194" s="240">
        <f t="shared" si="12"/>
        <v>199501.23041747947</v>
      </c>
      <c r="T194" s="254">
        <f t="shared" si="12"/>
        <v>4464534.4858633187</v>
      </c>
      <c r="U194" s="254">
        <f t="shared" si="12"/>
        <v>6574778.4129377073</v>
      </c>
      <c r="V194" s="255">
        <f t="shared" si="12"/>
        <v>1438653.93585914</v>
      </c>
      <c r="W194" s="240">
        <f t="shared" si="13"/>
        <v>0</v>
      </c>
      <c r="X194" s="254">
        <f t="shared" si="14"/>
        <v>11043217.122627689</v>
      </c>
      <c r="Y194" s="254">
        <f t="shared" si="15"/>
        <v>32524706.069006581</v>
      </c>
      <c r="Z194" s="255">
        <f t="shared" si="16"/>
        <v>8896254.3952424973</v>
      </c>
    </row>
    <row r="195" spans="2:26" ht="14.25">
      <c r="B195" s="243" t="s">
        <v>348</v>
      </c>
      <c r="C195" s="244">
        <v>770</v>
      </c>
      <c r="D195" s="244">
        <v>752</v>
      </c>
      <c r="E195" s="244">
        <v>252</v>
      </c>
      <c r="F195" s="244">
        <v>167</v>
      </c>
      <c r="G195" s="245">
        <v>1941</v>
      </c>
      <c r="H195" s="246">
        <v>2162</v>
      </c>
      <c r="I195" s="247">
        <f t="shared" si="17"/>
        <v>858</v>
      </c>
      <c r="J195" s="248">
        <f t="shared" si="17"/>
        <v>838</v>
      </c>
      <c r="K195" s="248">
        <f t="shared" si="8"/>
        <v>280</v>
      </c>
      <c r="L195" s="249">
        <f t="shared" si="8"/>
        <v>186</v>
      </c>
      <c r="M195" s="250">
        <f t="shared" si="9"/>
        <v>2162</v>
      </c>
      <c r="N195" s="236">
        <f t="shared" si="10"/>
        <v>0.87195121951219512</v>
      </c>
      <c r="O195" s="251">
        <f t="shared" si="10"/>
        <v>1.1355013550135502</v>
      </c>
      <c r="P195" s="251">
        <f t="shared" si="10"/>
        <v>0.56910569105691067</v>
      </c>
      <c r="Q195" s="252">
        <f t="shared" si="10"/>
        <v>0.56707317073170738</v>
      </c>
      <c r="R195" s="253">
        <f t="shared" si="11"/>
        <v>3.1436314363143634</v>
      </c>
      <c r="S195" s="240">
        <f t="shared" si="12"/>
        <v>420984.60473340703</v>
      </c>
      <c r="T195" s="254">
        <f t="shared" si="12"/>
        <v>2568018.1401240719</v>
      </c>
      <c r="U195" s="254">
        <f t="shared" si="12"/>
        <v>2380946.7240412193</v>
      </c>
      <c r="V195" s="255">
        <f t="shared" si="12"/>
        <v>0</v>
      </c>
      <c r="W195" s="240">
        <f t="shared" si="13"/>
        <v>0</v>
      </c>
      <c r="X195" s="254">
        <f t="shared" si="14"/>
        <v>3313360.5258725393</v>
      </c>
      <c r="Y195" s="254">
        <f t="shared" si="15"/>
        <v>4981902.4613357997</v>
      </c>
      <c r="Z195" s="255">
        <f t="shared" si="16"/>
        <v>8273516.587575525</v>
      </c>
    </row>
    <row r="196" spans="2:26" ht="15.75" customHeight="1">
      <c r="B196" s="243" t="s">
        <v>741</v>
      </c>
      <c r="C196" s="244">
        <v>0</v>
      </c>
      <c r="D196" s="244">
        <v>0</v>
      </c>
      <c r="E196" s="244">
        <v>0</v>
      </c>
      <c r="F196" s="244">
        <v>0</v>
      </c>
      <c r="G196" s="245">
        <v>0</v>
      </c>
      <c r="H196" s="256">
        <v>33</v>
      </c>
      <c r="I196" s="247">
        <f t="shared" si="17"/>
        <v>7</v>
      </c>
      <c r="J196" s="248">
        <f>+ROUNDDOWN(IFERROR((D196/$G196),(D$215/$G$215))*$H196,0)</f>
        <v>18</v>
      </c>
      <c r="K196" s="248">
        <f t="shared" si="8"/>
        <v>6</v>
      </c>
      <c r="L196" s="249">
        <f t="shared" si="8"/>
        <v>2</v>
      </c>
      <c r="M196" s="250">
        <f t="shared" si="9"/>
        <v>33</v>
      </c>
      <c r="N196" s="236">
        <f t="shared" si="10"/>
        <v>7.1138211382113818E-3</v>
      </c>
      <c r="O196" s="251">
        <f t="shared" si="10"/>
        <v>2.4390243902439022E-2</v>
      </c>
      <c r="P196" s="251">
        <f t="shared" si="10"/>
        <v>1.2195121951219513E-2</v>
      </c>
      <c r="Q196" s="252">
        <f t="shared" si="10"/>
        <v>6.0975609756097563E-3</v>
      </c>
      <c r="R196" s="253">
        <f t="shared" si="11"/>
        <v>4.9796747967479675E-2</v>
      </c>
      <c r="S196" s="240">
        <f t="shared" si="12"/>
        <v>1258.7475645745001</v>
      </c>
      <c r="T196" s="254">
        <f t="shared" si="12"/>
        <v>359667.17989213439</v>
      </c>
      <c r="U196" s="254">
        <f t="shared" si="12"/>
        <v>539499.6326297865</v>
      </c>
      <c r="V196" s="255">
        <f t="shared" si="12"/>
        <v>535845.78199174884</v>
      </c>
      <c r="W196" s="240">
        <f t="shared" si="13"/>
        <v>0</v>
      </c>
      <c r="X196" s="254">
        <f t="shared" si="14"/>
        <v>71170.035161939988</v>
      </c>
      <c r="Y196" s="254">
        <f t="shared" si="15"/>
        <v>106755.05274290999</v>
      </c>
      <c r="Z196" s="255">
        <f t="shared" si="16"/>
        <v>88962.543952424996</v>
      </c>
    </row>
    <row r="197" spans="2:26" ht="14.25">
      <c r="B197" s="243" t="s">
        <v>744</v>
      </c>
      <c r="C197" s="244">
        <v>20</v>
      </c>
      <c r="D197" s="244">
        <v>18</v>
      </c>
      <c r="E197" s="244">
        <v>4</v>
      </c>
      <c r="F197" s="244">
        <v>0</v>
      </c>
      <c r="G197" s="245">
        <v>42</v>
      </c>
      <c r="H197" s="256">
        <v>58</v>
      </c>
      <c r="I197" s="247">
        <f t="shared" si="17"/>
        <v>28</v>
      </c>
      <c r="J197" s="248">
        <f>+ROUNDUP(IFERROR((D197/$G197),(D$215/$G$215))*$H197,0)</f>
        <v>25</v>
      </c>
      <c r="K197" s="248">
        <f t="shared" si="8"/>
        <v>5</v>
      </c>
      <c r="L197" s="249">
        <f t="shared" si="8"/>
        <v>0</v>
      </c>
      <c r="M197" s="250">
        <f t="shared" si="9"/>
        <v>58</v>
      </c>
      <c r="N197" s="236">
        <f t="shared" si="10"/>
        <v>2.8455284552845527E-2</v>
      </c>
      <c r="O197" s="251">
        <f t="shared" si="10"/>
        <v>3.3875338753387538E-2</v>
      </c>
      <c r="P197" s="251">
        <f t="shared" si="10"/>
        <v>1.0162601626016262E-2</v>
      </c>
      <c r="Q197" s="252">
        <f t="shared" si="10"/>
        <v>0</v>
      </c>
      <c r="R197" s="253">
        <f t="shared" si="11"/>
        <v>7.2493224932249328E-2</v>
      </c>
      <c r="S197" s="240">
        <f t="shared" si="12"/>
        <v>7354.1372863625338</v>
      </c>
      <c r="T197" s="254">
        <f t="shared" si="12"/>
        <v>71795.75794629335</v>
      </c>
      <c r="U197" s="254">
        <f t="shared" si="12"/>
        <v>44653.909933347008</v>
      </c>
      <c r="V197" s="255">
        <f t="shared" si="12"/>
        <v>0</v>
      </c>
      <c r="W197" s="240">
        <f t="shared" si="13"/>
        <v>0</v>
      </c>
      <c r="X197" s="254">
        <f t="shared" si="14"/>
        <v>98847.27105825</v>
      </c>
      <c r="Y197" s="254">
        <f t="shared" si="15"/>
        <v>88962.543952425011</v>
      </c>
      <c r="Z197" s="255">
        <f t="shared" si="16"/>
        <v>0</v>
      </c>
    </row>
    <row r="198" spans="2:26" ht="14.25">
      <c r="B198" s="243" t="s">
        <v>407</v>
      </c>
      <c r="C198" s="244">
        <v>265</v>
      </c>
      <c r="D198" s="244">
        <v>1271</v>
      </c>
      <c r="E198" s="244">
        <v>581</v>
      </c>
      <c r="F198" s="244">
        <v>250</v>
      </c>
      <c r="G198" s="245">
        <v>2367</v>
      </c>
      <c r="H198" s="246">
        <v>2409</v>
      </c>
      <c r="I198" s="247">
        <f t="shared" si="17"/>
        <v>270</v>
      </c>
      <c r="J198" s="248">
        <f>+ROUNDUP(IFERROR((D198/$G198),(D$215/$G$215))*$H198,0)</f>
        <v>1294</v>
      </c>
      <c r="K198" s="248">
        <f t="shared" si="8"/>
        <v>591</v>
      </c>
      <c r="L198" s="249">
        <f t="shared" si="8"/>
        <v>254</v>
      </c>
      <c r="M198" s="250">
        <f t="shared" si="9"/>
        <v>2409</v>
      </c>
      <c r="N198" s="236">
        <f t="shared" si="10"/>
        <v>0.27439024390243899</v>
      </c>
      <c r="O198" s="251">
        <f t="shared" si="10"/>
        <v>1.7533875338753389</v>
      </c>
      <c r="P198" s="251">
        <f t="shared" si="10"/>
        <v>1.2012195121951221</v>
      </c>
      <c r="Q198" s="252">
        <f t="shared" si="10"/>
        <v>0.77439024390243905</v>
      </c>
      <c r="R198" s="253">
        <f t="shared" si="11"/>
        <v>4.0033875338753386</v>
      </c>
      <c r="S198" s="240">
        <f t="shared" si="12"/>
        <v>48551.691776444997</v>
      </c>
      <c r="T198" s="254">
        <f t="shared" si="12"/>
        <v>25856073.932245661</v>
      </c>
      <c r="U198" s="254">
        <f t="shared" si="12"/>
        <v>53140713.814033978</v>
      </c>
      <c r="V198" s="255">
        <f t="shared" si="12"/>
        <v>68052414.312952101</v>
      </c>
      <c r="W198" s="240">
        <f t="shared" si="13"/>
        <v>0</v>
      </c>
      <c r="X198" s="254">
        <f t="shared" si="14"/>
        <v>5116334.7499750201</v>
      </c>
      <c r="Y198" s="254">
        <f t="shared" si="15"/>
        <v>10515372.695176635</v>
      </c>
      <c r="Z198" s="255">
        <f t="shared" si="16"/>
        <v>11298243.081957974</v>
      </c>
    </row>
    <row r="199" spans="2:26" ht="14.25">
      <c r="B199" s="243" t="s">
        <v>428</v>
      </c>
      <c r="C199" s="244">
        <v>180</v>
      </c>
      <c r="D199" s="244">
        <v>289</v>
      </c>
      <c r="E199" s="244">
        <v>169</v>
      </c>
      <c r="F199" s="244">
        <v>144</v>
      </c>
      <c r="G199" s="245">
        <v>782</v>
      </c>
      <c r="H199" s="246">
        <v>1180</v>
      </c>
      <c r="I199" s="247">
        <f t="shared" si="17"/>
        <v>272</v>
      </c>
      <c r="J199" s="248">
        <f>+ROUNDDOWN(IFERROR((D199/$G199),(D$215/$G$215))*$H199,0)</f>
        <v>436</v>
      </c>
      <c r="K199" s="248">
        <f t="shared" si="8"/>
        <v>255</v>
      </c>
      <c r="L199" s="249">
        <f t="shared" si="8"/>
        <v>217</v>
      </c>
      <c r="M199" s="250">
        <f t="shared" si="9"/>
        <v>1180</v>
      </c>
      <c r="N199" s="236">
        <f t="shared" si="10"/>
        <v>0.27642276422764228</v>
      </c>
      <c r="O199" s="251">
        <f t="shared" si="10"/>
        <v>0.59078590785907859</v>
      </c>
      <c r="P199" s="251">
        <f t="shared" si="10"/>
        <v>0.51829268292682928</v>
      </c>
      <c r="Q199" s="252">
        <f t="shared" si="10"/>
        <v>0.66158536585365857</v>
      </c>
      <c r="R199" s="253">
        <f t="shared" si="11"/>
        <v>2.0470867208672088</v>
      </c>
      <c r="S199" s="240">
        <f t="shared" si="12"/>
        <v>80023.839899737068</v>
      </c>
      <c r="T199" s="254">
        <f t="shared" si="12"/>
        <v>329832.39076287183</v>
      </c>
      <c r="U199" s="254">
        <f t="shared" si="12"/>
        <v>428674.97664119705</v>
      </c>
      <c r="V199" s="255">
        <f t="shared" si="12"/>
        <v>820801.92278154078</v>
      </c>
      <c r="W199" s="240">
        <f t="shared" si="13"/>
        <v>0</v>
      </c>
      <c r="X199" s="254">
        <f t="shared" si="14"/>
        <v>1723896.4072558798</v>
      </c>
      <c r="Y199" s="254">
        <f t="shared" si="15"/>
        <v>4537089.7415736746</v>
      </c>
      <c r="Z199" s="255">
        <f t="shared" si="16"/>
        <v>9652436.0188381113</v>
      </c>
    </row>
    <row r="200" spans="2:26" ht="14.25">
      <c r="B200" s="243" t="s">
        <v>441</v>
      </c>
      <c r="C200" s="244">
        <v>283</v>
      </c>
      <c r="D200" s="244">
        <v>2680</v>
      </c>
      <c r="E200" s="244">
        <v>997</v>
      </c>
      <c r="F200" s="244">
        <v>77</v>
      </c>
      <c r="G200" s="245">
        <v>4037</v>
      </c>
      <c r="H200" s="246">
        <v>4228</v>
      </c>
      <c r="I200" s="247">
        <f t="shared" si="17"/>
        <v>297</v>
      </c>
      <c r="J200" s="248">
        <f t="shared" si="17"/>
        <v>2807</v>
      </c>
      <c r="K200" s="248">
        <f t="shared" si="8"/>
        <v>1044</v>
      </c>
      <c r="L200" s="249">
        <f t="shared" si="8"/>
        <v>80</v>
      </c>
      <c r="M200" s="250">
        <f t="shared" si="9"/>
        <v>4228</v>
      </c>
      <c r="N200" s="236">
        <f t="shared" si="10"/>
        <v>0.30182926829268292</v>
      </c>
      <c r="O200" s="251">
        <f t="shared" si="10"/>
        <v>3.8035230352303522</v>
      </c>
      <c r="P200" s="251">
        <f t="shared" si="10"/>
        <v>2.1219512195121952</v>
      </c>
      <c r="Q200" s="252">
        <f t="shared" si="10"/>
        <v>0.24390243902439024</v>
      </c>
      <c r="R200" s="253">
        <f t="shared" si="11"/>
        <v>6.4712059620596207</v>
      </c>
      <c r="S200" s="240">
        <f t="shared" si="12"/>
        <v>142432.3688317101</v>
      </c>
      <c r="T200" s="254">
        <f t="shared" si="12"/>
        <v>4486913.1048400765</v>
      </c>
      <c r="U200" s="254">
        <f t="shared" si="12"/>
        <v>3754960.9754414475</v>
      </c>
      <c r="V200" s="255">
        <f t="shared" si="12"/>
        <v>575461.57434365607</v>
      </c>
      <c r="W200" s="240">
        <f t="shared" si="13"/>
        <v>0</v>
      </c>
      <c r="X200" s="254">
        <f t="shared" si="14"/>
        <v>11098571.594420308</v>
      </c>
      <c r="Y200" s="254">
        <f t="shared" si="15"/>
        <v>18575379.177266341</v>
      </c>
      <c r="Z200" s="255">
        <f t="shared" si="16"/>
        <v>3558501.7580969995</v>
      </c>
    </row>
    <row r="201" spans="2:26" ht="14.25">
      <c r="B201" s="243" t="s">
        <v>470</v>
      </c>
      <c r="C201" s="244">
        <v>135</v>
      </c>
      <c r="D201" s="244">
        <v>725</v>
      </c>
      <c r="E201" s="244">
        <v>35</v>
      </c>
      <c r="F201" s="244">
        <v>46</v>
      </c>
      <c r="G201" s="245">
        <v>941</v>
      </c>
      <c r="H201" s="256">
        <v>952</v>
      </c>
      <c r="I201" s="247">
        <f t="shared" si="17"/>
        <v>137</v>
      </c>
      <c r="J201" s="248">
        <f t="shared" si="17"/>
        <v>734</v>
      </c>
      <c r="K201" s="248">
        <f t="shared" si="8"/>
        <v>35</v>
      </c>
      <c r="L201" s="249">
        <f t="shared" si="8"/>
        <v>46</v>
      </c>
      <c r="M201" s="250">
        <f t="shared" si="9"/>
        <v>952</v>
      </c>
      <c r="N201" s="236">
        <f t="shared" si="10"/>
        <v>0.13922764227642276</v>
      </c>
      <c r="O201" s="251">
        <f t="shared" si="10"/>
        <v>0.99457994579945808</v>
      </c>
      <c r="P201" s="251">
        <f t="shared" si="10"/>
        <v>7.1138211382113833E-2</v>
      </c>
      <c r="Q201" s="252">
        <f t="shared" si="10"/>
        <v>0.14024390243902438</v>
      </c>
      <c r="R201" s="253">
        <f t="shared" si="11"/>
        <v>1.3451897018970189</v>
      </c>
      <c r="S201" s="240">
        <f t="shared" si="12"/>
        <v>35982.74315113097</v>
      </c>
      <c r="T201" s="254">
        <f t="shared" si="12"/>
        <v>1360718.0106097104</v>
      </c>
      <c r="U201" s="254">
        <f t="shared" si="12"/>
        <v>269673.81288581074</v>
      </c>
      <c r="V201" s="255">
        <f t="shared" si="12"/>
        <v>1594927.9790675086</v>
      </c>
      <c r="W201" s="240">
        <f t="shared" si="13"/>
        <v>0</v>
      </c>
      <c r="X201" s="254">
        <f t="shared" si="14"/>
        <v>2902155.8782702195</v>
      </c>
      <c r="Y201" s="254">
        <f t="shared" si="15"/>
        <v>622737.80766697496</v>
      </c>
      <c r="Z201" s="255">
        <f t="shared" si="16"/>
        <v>2046138.5109057745</v>
      </c>
    </row>
    <row r="202" spans="2:26" ht="15.75" customHeight="1">
      <c r="B202" s="243" t="s">
        <v>1312</v>
      </c>
      <c r="C202" s="244">
        <v>814</v>
      </c>
      <c r="D202" s="244">
        <v>748</v>
      </c>
      <c r="E202" s="244">
        <v>1411</v>
      </c>
      <c r="F202" s="244">
        <v>1319</v>
      </c>
      <c r="G202" s="245">
        <v>4292</v>
      </c>
      <c r="H202" s="246">
        <v>5207</v>
      </c>
      <c r="I202" s="247">
        <f t="shared" si="17"/>
        <v>988</v>
      </c>
      <c r="J202" s="248">
        <f t="shared" si="17"/>
        <v>908</v>
      </c>
      <c r="K202" s="248">
        <f t="shared" si="8"/>
        <v>1711</v>
      </c>
      <c r="L202" s="249">
        <f t="shared" si="8"/>
        <v>1600</v>
      </c>
      <c r="M202" s="250">
        <f t="shared" si="9"/>
        <v>5207</v>
      </c>
      <c r="N202" s="236">
        <f t="shared" si="10"/>
        <v>1.0040650406504064</v>
      </c>
      <c r="O202" s="251">
        <f t="shared" si="10"/>
        <v>1.2303523035230353</v>
      </c>
      <c r="P202" s="251">
        <f t="shared" si="10"/>
        <v>3.4776422764227641</v>
      </c>
      <c r="Q202" s="252">
        <f t="shared" si="10"/>
        <v>4.8780487804878048</v>
      </c>
      <c r="R202" s="253">
        <f t="shared" si="11"/>
        <v>10.590108401084009</v>
      </c>
      <c r="S202" s="240">
        <f t="shared" si="12"/>
        <v>539777.86962203868</v>
      </c>
      <c r="T202" s="254">
        <f t="shared" si="12"/>
        <v>1835936.5585008448</v>
      </c>
      <c r="U202" s="254">
        <f t="shared" si="12"/>
        <v>14549447.307089837</v>
      </c>
      <c r="V202" s="255">
        <f t="shared" si="12"/>
        <v>36003336.100182876</v>
      </c>
      <c r="W202" s="240">
        <f t="shared" si="13"/>
        <v>0</v>
      </c>
      <c r="X202" s="254">
        <f t="shared" si="14"/>
        <v>3590132.8848356395</v>
      </c>
      <c r="Y202" s="254">
        <f t="shared" si="15"/>
        <v>30442982.54051983</v>
      </c>
      <c r="Z202" s="255">
        <f t="shared" si="16"/>
        <v>71170035.161939979</v>
      </c>
    </row>
    <row r="203" spans="2:26" ht="14.25">
      <c r="B203" s="243" t="s">
        <v>540</v>
      </c>
      <c r="C203" s="244">
        <v>436</v>
      </c>
      <c r="D203" s="244">
        <v>1865</v>
      </c>
      <c r="E203" s="244">
        <v>212</v>
      </c>
      <c r="F203" s="244">
        <v>35</v>
      </c>
      <c r="G203" s="245">
        <v>2548</v>
      </c>
      <c r="H203" s="246">
        <v>2703</v>
      </c>
      <c r="I203" s="247">
        <f t="shared" si="17"/>
        <v>463</v>
      </c>
      <c r="J203" s="248">
        <f t="shared" si="17"/>
        <v>1979</v>
      </c>
      <c r="K203" s="248">
        <f t="shared" si="8"/>
        <v>224</v>
      </c>
      <c r="L203" s="249">
        <f t="shared" si="8"/>
        <v>37</v>
      </c>
      <c r="M203" s="250">
        <f t="shared" si="9"/>
        <v>2703</v>
      </c>
      <c r="N203" s="236">
        <f t="shared" si="10"/>
        <v>0.47052845528455284</v>
      </c>
      <c r="O203" s="251">
        <f t="shared" si="10"/>
        <v>2.6815718157181569</v>
      </c>
      <c r="P203" s="251">
        <f t="shared" si="10"/>
        <v>0.45528455284552843</v>
      </c>
      <c r="Q203" s="252">
        <f t="shared" si="10"/>
        <v>0.11280487804878049</v>
      </c>
      <c r="R203" s="253">
        <f t="shared" si="11"/>
        <v>3.7201897018970187</v>
      </c>
      <c r="S203" s="240">
        <f t="shared" si="12"/>
        <v>219891.0456162277</v>
      </c>
      <c r="T203" s="254">
        <f t="shared" si="12"/>
        <v>7733339.9378369348</v>
      </c>
      <c r="U203" s="254">
        <f t="shared" si="12"/>
        <v>2678535.212825472</v>
      </c>
      <c r="V203" s="255">
        <f t="shared" si="12"/>
        <v>2507445.9026859817</v>
      </c>
      <c r="W203" s="240">
        <f t="shared" si="13"/>
        <v>0</v>
      </c>
      <c r="X203" s="254">
        <f t="shared" si="14"/>
        <v>7824749.9769710684</v>
      </c>
      <c r="Y203" s="254">
        <f t="shared" si="15"/>
        <v>3985521.9690686394</v>
      </c>
      <c r="Z203" s="255">
        <f t="shared" si="16"/>
        <v>1645807.0631198622</v>
      </c>
    </row>
    <row r="204" spans="2:26" ht="14.25">
      <c r="B204" s="243" t="s">
        <v>717</v>
      </c>
      <c r="C204" s="244">
        <v>68</v>
      </c>
      <c r="D204" s="244">
        <v>267</v>
      </c>
      <c r="E204" s="244">
        <v>111</v>
      </c>
      <c r="F204" s="244">
        <v>33</v>
      </c>
      <c r="G204" s="245">
        <v>479</v>
      </c>
      <c r="H204" s="256">
        <v>463</v>
      </c>
      <c r="I204" s="247">
        <f t="shared" si="17"/>
        <v>66</v>
      </c>
      <c r="J204" s="248">
        <f t="shared" si="17"/>
        <v>259</v>
      </c>
      <c r="K204" s="248">
        <f t="shared" si="8"/>
        <v>107</v>
      </c>
      <c r="L204" s="249">
        <f t="shared" si="8"/>
        <v>31</v>
      </c>
      <c r="M204" s="250">
        <f t="shared" si="9"/>
        <v>463</v>
      </c>
      <c r="N204" s="236">
        <f t="shared" si="10"/>
        <v>6.7073170731707307E-2</v>
      </c>
      <c r="O204" s="251">
        <f t="shared" si="10"/>
        <v>0.35094850948509487</v>
      </c>
      <c r="P204" s="251">
        <f t="shared" si="10"/>
        <v>0.21747967479674796</v>
      </c>
      <c r="Q204" s="252">
        <f t="shared" si="10"/>
        <v>9.4512195121951206E-2</v>
      </c>
      <c r="R204" s="253">
        <f t="shared" si="11"/>
        <v>0.7300135501355014</v>
      </c>
      <c r="S204" s="240">
        <f t="shared" si="12"/>
        <v>19936.685028975</v>
      </c>
      <c r="T204" s="254">
        <f t="shared" si="12"/>
        <v>2040944.910203666</v>
      </c>
      <c r="U204" s="254">
        <f t="shared" si="12"/>
        <v>1329956.3334438144</v>
      </c>
      <c r="V204" s="255">
        <f t="shared" si="12"/>
        <v>1286553.0210813992</v>
      </c>
      <c r="W204" s="240">
        <f t="shared" si="13"/>
        <v>0</v>
      </c>
      <c r="X204" s="254">
        <f t="shared" si="14"/>
        <v>1024057.7281634699</v>
      </c>
      <c r="Y204" s="254">
        <f t="shared" si="15"/>
        <v>1903798.4405818947</v>
      </c>
      <c r="Z204" s="255">
        <f t="shared" si="16"/>
        <v>1378919.4312625872</v>
      </c>
    </row>
    <row r="205" spans="2:26" ht="14.25">
      <c r="B205" s="243" t="s">
        <v>559</v>
      </c>
      <c r="C205" s="244">
        <v>363</v>
      </c>
      <c r="D205" s="244">
        <v>623</v>
      </c>
      <c r="E205" s="244">
        <v>8</v>
      </c>
      <c r="F205" s="244">
        <v>5</v>
      </c>
      <c r="G205" s="245">
        <v>999</v>
      </c>
      <c r="H205" s="246">
        <v>1070</v>
      </c>
      <c r="I205" s="247">
        <f t="shared" si="17"/>
        <v>389</v>
      </c>
      <c r="J205" s="248">
        <f t="shared" si="17"/>
        <v>668</v>
      </c>
      <c r="K205" s="248">
        <f t="shared" si="8"/>
        <v>8</v>
      </c>
      <c r="L205" s="249">
        <f t="shared" si="8"/>
        <v>5</v>
      </c>
      <c r="M205" s="250">
        <f t="shared" si="9"/>
        <v>1070</v>
      </c>
      <c r="N205" s="236">
        <f t="shared" si="10"/>
        <v>0.39532520325203246</v>
      </c>
      <c r="O205" s="251">
        <f t="shared" si="10"/>
        <v>0.90514905149051483</v>
      </c>
      <c r="P205" s="251">
        <f t="shared" si="10"/>
        <v>1.6260162601626018E-2</v>
      </c>
      <c r="Q205" s="252">
        <f t="shared" si="10"/>
        <v>1.524390243902439E-2</v>
      </c>
      <c r="R205" s="253">
        <f t="shared" si="11"/>
        <v>1.3319783197831978</v>
      </c>
      <c r="S205" s="240">
        <f t="shared" si="12"/>
        <v>186552.83325096036</v>
      </c>
      <c r="T205" s="254">
        <f t="shared" si="12"/>
        <v>1067779.8197481907</v>
      </c>
      <c r="U205" s="254">
        <f t="shared" si="12"/>
        <v>81250.508710266164</v>
      </c>
      <c r="V205" s="255">
        <f t="shared" si="12"/>
        <v>476564.24451578804</v>
      </c>
      <c r="W205" s="240">
        <f t="shared" si="13"/>
        <v>0</v>
      </c>
      <c r="X205" s="254">
        <f t="shared" si="14"/>
        <v>2641199.0826764395</v>
      </c>
      <c r="Y205" s="254">
        <f t="shared" si="15"/>
        <v>142340.07032388001</v>
      </c>
      <c r="Z205" s="255">
        <f t="shared" si="16"/>
        <v>222406.35988106247</v>
      </c>
    </row>
    <row r="206" spans="2:26" ht="14.25">
      <c r="B206" s="243" t="s">
        <v>572</v>
      </c>
      <c r="C206" s="244">
        <v>192</v>
      </c>
      <c r="D206" s="244">
        <v>644</v>
      </c>
      <c r="E206" s="244">
        <v>122</v>
      </c>
      <c r="F206" s="244">
        <v>138</v>
      </c>
      <c r="G206" s="245">
        <v>1096</v>
      </c>
      <c r="H206" s="246">
        <v>1128</v>
      </c>
      <c r="I206" s="247">
        <f t="shared" si="17"/>
        <v>198</v>
      </c>
      <c r="J206" s="248">
        <f t="shared" si="17"/>
        <v>663</v>
      </c>
      <c r="K206" s="248">
        <f t="shared" si="8"/>
        <v>125</v>
      </c>
      <c r="L206" s="249">
        <f t="shared" si="8"/>
        <v>142</v>
      </c>
      <c r="M206" s="250">
        <f t="shared" si="9"/>
        <v>1128</v>
      </c>
      <c r="N206" s="236">
        <f t="shared" si="10"/>
        <v>0.20121951219512194</v>
      </c>
      <c r="O206" s="251">
        <f t="shared" si="10"/>
        <v>0.89837398373983735</v>
      </c>
      <c r="P206" s="251">
        <f t="shared" si="10"/>
        <v>0.25406504065040653</v>
      </c>
      <c r="Q206" s="252">
        <f t="shared" si="10"/>
        <v>0.43292682926829268</v>
      </c>
      <c r="R206" s="253">
        <f t="shared" si="11"/>
        <v>1.7865853658536586</v>
      </c>
      <c r="S206" s="240">
        <f t="shared" si="12"/>
        <v>58252.648162308593</v>
      </c>
      <c r="T206" s="254">
        <f t="shared" si="12"/>
        <v>1527876.65462943</v>
      </c>
      <c r="U206" s="254">
        <f t="shared" si="12"/>
        <v>525342.90413843328</v>
      </c>
      <c r="V206" s="255">
        <f t="shared" si="12"/>
        <v>13534424.544248378</v>
      </c>
      <c r="W206" s="240">
        <f t="shared" si="13"/>
        <v>0</v>
      </c>
      <c r="X206" s="254">
        <f t="shared" si="14"/>
        <v>2621429.6284647891</v>
      </c>
      <c r="Y206" s="254">
        <f t="shared" si="15"/>
        <v>2224063.5988106248</v>
      </c>
      <c r="Z206" s="255">
        <f t="shared" si="16"/>
        <v>6316340.6206221739</v>
      </c>
    </row>
    <row r="207" spans="2:26" ht="14.25">
      <c r="B207" s="243" t="s">
        <v>1313</v>
      </c>
      <c r="C207" s="244">
        <v>35</v>
      </c>
      <c r="D207" s="244">
        <v>12</v>
      </c>
      <c r="E207" s="244">
        <v>1</v>
      </c>
      <c r="F207" s="244">
        <v>6</v>
      </c>
      <c r="G207" s="245">
        <v>54</v>
      </c>
      <c r="H207" s="256">
        <v>80</v>
      </c>
      <c r="I207" s="247">
        <f t="shared" si="17"/>
        <v>52</v>
      </c>
      <c r="J207" s="248">
        <f t="shared" si="17"/>
        <v>18</v>
      </c>
      <c r="K207" s="248">
        <f>+ROUNDUP(IFERROR((E207/$G207),(E$215/$G$215))*$H207,0)</f>
        <v>2</v>
      </c>
      <c r="L207" s="249">
        <f t="shared" ref="L207:L214" si="18">+ROUNDDOWN(IFERROR((F207/$G207),(F$215/$G$215))*$H207,0)</f>
        <v>8</v>
      </c>
      <c r="M207" s="250">
        <f t="shared" si="9"/>
        <v>80</v>
      </c>
      <c r="N207" s="236">
        <f t="shared" si="10"/>
        <v>5.2845528455284556E-2</v>
      </c>
      <c r="O207" s="251">
        <f t="shared" si="10"/>
        <v>2.4390243902439022E-2</v>
      </c>
      <c r="P207" s="251">
        <f t="shared" si="10"/>
        <v>4.0650406504065045E-3</v>
      </c>
      <c r="Q207" s="252">
        <f t="shared" si="10"/>
        <v>2.4390243902439025E-2</v>
      </c>
      <c r="R207" s="253">
        <f t="shared" si="11"/>
        <v>0.1056910569105691</v>
      </c>
      <c r="S207" s="240">
        <f t="shared" si="12"/>
        <v>9350.6961939819994</v>
      </c>
      <c r="T207" s="254">
        <f t="shared" si="12"/>
        <v>327811.69776555191</v>
      </c>
      <c r="U207" s="254">
        <f t="shared" si="12"/>
        <v>0</v>
      </c>
      <c r="V207" s="255">
        <f t="shared" si="12"/>
        <v>0</v>
      </c>
      <c r="W207" s="240">
        <f t="shared" si="13"/>
        <v>0</v>
      </c>
      <c r="X207" s="254">
        <f t="shared" si="14"/>
        <v>71170.035161939988</v>
      </c>
      <c r="Y207" s="254">
        <f t="shared" si="15"/>
        <v>35585.017580970001</v>
      </c>
      <c r="Z207" s="255">
        <f t="shared" si="16"/>
        <v>355850.17580969998</v>
      </c>
    </row>
    <row r="208" spans="2:26" ht="14.25">
      <c r="B208" s="243" t="s">
        <v>581</v>
      </c>
      <c r="C208" s="244">
        <v>1130</v>
      </c>
      <c r="D208" s="244">
        <v>1412</v>
      </c>
      <c r="E208" s="244">
        <v>392</v>
      </c>
      <c r="F208" s="244">
        <v>171</v>
      </c>
      <c r="G208" s="245">
        <v>3105</v>
      </c>
      <c r="H208" s="246">
        <v>3272</v>
      </c>
      <c r="I208" s="247">
        <f t="shared" si="17"/>
        <v>1191</v>
      </c>
      <c r="J208" s="248">
        <f t="shared" si="17"/>
        <v>1488</v>
      </c>
      <c r="K208" s="248">
        <f t="shared" ref="K208:K214" si="19">+ROUNDDOWN(IFERROR((E208/$G208),(E$215/$G$215))*$H208,0)</f>
        <v>413</v>
      </c>
      <c r="L208" s="249">
        <f t="shared" si="18"/>
        <v>180</v>
      </c>
      <c r="M208" s="250">
        <f t="shared" si="9"/>
        <v>3272</v>
      </c>
      <c r="N208" s="236">
        <f t="shared" si="10"/>
        <v>1.2103658536585364</v>
      </c>
      <c r="O208" s="251">
        <f t="shared" si="10"/>
        <v>2.0162601626016259</v>
      </c>
      <c r="P208" s="251">
        <f t="shared" si="10"/>
        <v>0.83943089430894313</v>
      </c>
      <c r="Q208" s="252">
        <f t="shared" si="10"/>
        <v>0.54878048780487798</v>
      </c>
      <c r="R208" s="253">
        <f t="shared" si="11"/>
        <v>4.6148373983739841</v>
      </c>
      <c r="S208" s="240">
        <f t="shared" si="12"/>
        <v>571168.18612312025</v>
      </c>
      <c r="T208" s="254">
        <f t="shared" si="12"/>
        <v>2378527.5026726164</v>
      </c>
      <c r="U208" s="254">
        <f t="shared" si="12"/>
        <v>1485439.5429667793</v>
      </c>
      <c r="V208" s="255">
        <f t="shared" si="12"/>
        <v>1294788.542273226</v>
      </c>
      <c r="W208" s="240">
        <f t="shared" si="13"/>
        <v>0</v>
      </c>
      <c r="X208" s="254">
        <f t="shared" si="14"/>
        <v>5883389.573387038</v>
      </c>
      <c r="Y208" s="254">
        <f t="shared" si="15"/>
        <v>7348306.1304703047</v>
      </c>
      <c r="Z208" s="255">
        <f t="shared" si="16"/>
        <v>8006628.9557182472</v>
      </c>
    </row>
    <row r="209" spans="2:26" ht="14.25">
      <c r="B209" s="243" t="s">
        <v>1314</v>
      </c>
      <c r="C209" s="244">
        <v>0</v>
      </c>
      <c r="D209" s="244">
        <v>0</v>
      </c>
      <c r="E209" s="244">
        <v>0</v>
      </c>
      <c r="F209" s="244">
        <v>0</v>
      </c>
      <c r="G209" s="245">
        <v>0</v>
      </c>
      <c r="H209" s="256">
        <v>0</v>
      </c>
      <c r="I209" s="247">
        <f t="shared" si="17"/>
        <v>0</v>
      </c>
      <c r="J209" s="257">
        <f t="shared" si="17"/>
        <v>0</v>
      </c>
      <c r="K209" s="257">
        <f t="shared" si="19"/>
        <v>0</v>
      </c>
      <c r="L209" s="258">
        <f t="shared" si="18"/>
        <v>0</v>
      </c>
      <c r="M209" s="250">
        <f t="shared" si="9"/>
        <v>0</v>
      </c>
      <c r="N209" s="236">
        <f t="shared" si="10"/>
        <v>0</v>
      </c>
      <c r="O209" s="259">
        <f t="shared" si="10"/>
        <v>0</v>
      </c>
      <c r="P209" s="259">
        <f t="shared" si="10"/>
        <v>0</v>
      </c>
      <c r="Q209" s="260">
        <f t="shared" si="10"/>
        <v>0</v>
      </c>
      <c r="R209" s="253">
        <f t="shared" si="11"/>
        <v>0</v>
      </c>
      <c r="S209" s="240">
        <f t="shared" si="12"/>
        <v>0</v>
      </c>
      <c r="T209" s="261">
        <f t="shared" si="12"/>
        <v>0</v>
      </c>
      <c r="U209" s="261">
        <f t="shared" si="12"/>
        <v>0</v>
      </c>
      <c r="V209" s="262">
        <f t="shared" si="12"/>
        <v>0</v>
      </c>
      <c r="W209" s="240">
        <f t="shared" si="13"/>
        <v>0</v>
      </c>
      <c r="X209" s="261">
        <f t="shared" si="14"/>
        <v>0</v>
      </c>
      <c r="Y209" s="261">
        <f t="shared" si="15"/>
        <v>0</v>
      </c>
      <c r="Z209" s="262">
        <f t="shared" si="16"/>
        <v>0</v>
      </c>
    </row>
    <row r="210" spans="2:26" ht="14.25">
      <c r="B210" s="243" t="s">
        <v>604</v>
      </c>
      <c r="C210" s="244">
        <v>254</v>
      </c>
      <c r="D210" s="244">
        <v>1575</v>
      </c>
      <c r="E210" s="244">
        <v>963</v>
      </c>
      <c r="F210" s="244">
        <v>77</v>
      </c>
      <c r="G210" s="245">
        <v>2869</v>
      </c>
      <c r="H210" s="246">
        <v>2950</v>
      </c>
      <c r="I210" s="247">
        <f t="shared" si="17"/>
        <v>262</v>
      </c>
      <c r="J210" s="248">
        <f>+ROUNDDOWN(IFERROR((D210/$G210),(D$215/$G$215))*$H210,0)</f>
        <v>1619</v>
      </c>
      <c r="K210" s="248">
        <f t="shared" si="19"/>
        <v>990</v>
      </c>
      <c r="L210" s="249">
        <f t="shared" si="18"/>
        <v>79</v>
      </c>
      <c r="M210" s="250">
        <f t="shared" si="9"/>
        <v>2950</v>
      </c>
      <c r="N210" s="236">
        <f t="shared" si="10"/>
        <v>0.26626016260162599</v>
      </c>
      <c r="O210" s="251">
        <f t="shared" si="10"/>
        <v>2.1937669376693769</v>
      </c>
      <c r="P210" s="251">
        <f t="shared" si="10"/>
        <v>2.0121951219512195</v>
      </c>
      <c r="Q210" s="252">
        <f t="shared" si="10"/>
        <v>0.24085365853658536</v>
      </c>
      <c r="R210" s="253">
        <f t="shared" si="11"/>
        <v>4.713075880758808</v>
      </c>
      <c r="S210" s="240">
        <f t="shared" si="12"/>
        <v>61749.848341152392</v>
      </c>
      <c r="T210" s="254">
        <f t="shared" si="12"/>
        <v>3844403.4913270976</v>
      </c>
      <c r="U210" s="254">
        <f t="shared" si="12"/>
        <v>6157855.632361291</v>
      </c>
      <c r="V210" s="255">
        <f t="shared" si="12"/>
        <v>982749.45792546833</v>
      </c>
      <c r="W210" s="240">
        <f t="shared" si="13"/>
        <v>0</v>
      </c>
      <c r="X210" s="254">
        <f t="shared" si="14"/>
        <v>6401349.2737322692</v>
      </c>
      <c r="Y210" s="254">
        <f t="shared" si="15"/>
        <v>17614583.70258015</v>
      </c>
      <c r="Z210" s="255">
        <f t="shared" si="16"/>
        <v>3514020.4861207865</v>
      </c>
    </row>
    <row r="211" spans="2:26" ht="14.25">
      <c r="B211" s="243" t="s">
        <v>631</v>
      </c>
      <c r="C211" s="244">
        <v>380</v>
      </c>
      <c r="D211" s="244">
        <v>839</v>
      </c>
      <c r="E211" s="244">
        <v>126</v>
      </c>
      <c r="F211" s="244">
        <v>57</v>
      </c>
      <c r="G211" s="245">
        <v>1402</v>
      </c>
      <c r="H211" s="246">
        <v>1436</v>
      </c>
      <c r="I211" s="247">
        <f t="shared" si="17"/>
        <v>390</v>
      </c>
      <c r="J211" s="248">
        <f>+ROUNDDOWN(IFERROR((D211/$G211),(D$215/$G$215))*$H211,0)</f>
        <v>859</v>
      </c>
      <c r="K211" s="248">
        <f t="shared" si="19"/>
        <v>129</v>
      </c>
      <c r="L211" s="249">
        <f t="shared" si="18"/>
        <v>58</v>
      </c>
      <c r="M211" s="250">
        <f t="shared" si="9"/>
        <v>1436</v>
      </c>
      <c r="N211" s="236">
        <f t="shared" si="10"/>
        <v>0.39634146341463417</v>
      </c>
      <c r="O211" s="251">
        <f t="shared" si="10"/>
        <v>1.1639566395663956</v>
      </c>
      <c r="P211" s="251">
        <f t="shared" si="10"/>
        <v>0.26219512195121952</v>
      </c>
      <c r="Q211" s="252">
        <f t="shared" si="10"/>
        <v>0.17682926829268295</v>
      </c>
      <c r="R211" s="253">
        <f t="shared" si="11"/>
        <v>1.9993224932249323</v>
      </c>
      <c r="S211" s="240">
        <f t="shared" si="12"/>
        <v>222088.27442544603</v>
      </c>
      <c r="T211" s="254">
        <f t="shared" si="12"/>
        <v>1029829.65865508</v>
      </c>
      <c r="U211" s="254">
        <f t="shared" si="12"/>
        <v>309304.48371448339</v>
      </c>
      <c r="V211" s="255">
        <f t="shared" si="12"/>
        <v>333772.65997592668</v>
      </c>
      <c r="W211" s="240">
        <f t="shared" si="13"/>
        <v>0</v>
      </c>
      <c r="X211" s="254">
        <f t="shared" si="14"/>
        <v>3396392.2335614692</v>
      </c>
      <c r="Y211" s="254">
        <f t="shared" si="15"/>
        <v>2295233.6339725647</v>
      </c>
      <c r="Z211" s="255">
        <f t="shared" si="16"/>
        <v>2579913.7746203248</v>
      </c>
    </row>
    <row r="212" spans="2:26" ht="14.25">
      <c r="B212" s="243" t="s">
        <v>657</v>
      </c>
      <c r="C212" s="244">
        <v>1725</v>
      </c>
      <c r="D212" s="244">
        <v>2795</v>
      </c>
      <c r="E212" s="244">
        <v>719</v>
      </c>
      <c r="F212" s="244">
        <v>255</v>
      </c>
      <c r="G212" s="245">
        <v>5494</v>
      </c>
      <c r="H212" s="246">
        <v>5976</v>
      </c>
      <c r="I212" s="247">
        <f t="shared" si="17"/>
        <v>1877</v>
      </c>
      <c r="J212" s="248">
        <f>+ROUNDDOWN(IFERROR((D212/$G212),(D$215/$G$215))*$H212,0)</f>
        <v>3040</v>
      </c>
      <c r="K212" s="248">
        <f t="shared" si="19"/>
        <v>782</v>
      </c>
      <c r="L212" s="249">
        <f t="shared" si="18"/>
        <v>277</v>
      </c>
      <c r="M212" s="250">
        <f t="shared" si="9"/>
        <v>5976</v>
      </c>
      <c r="N212" s="236">
        <f t="shared" si="10"/>
        <v>1.907520325203252</v>
      </c>
      <c r="O212" s="251">
        <f t="shared" si="10"/>
        <v>4.1192411924119243</v>
      </c>
      <c r="P212" s="251">
        <f t="shared" si="10"/>
        <v>1.5894308943089432</v>
      </c>
      <c r="Q212" s="252">
        <f t="shared" si="10"/>
        <v>0.8445121951219513</v>
      </c>
      <c r="R212" s="253">
        <f t="shared" si="11"/>
        <v>8.4607046070460701</v>
      </c>
      <c r="S212" s="240">
        <f t="shared" si="12"/>
        <v>394445.24026209686</v>
      </c>
      <c r="T212" s="254">
        <f t="shared" si="12"/>
        <v>102209947.18171087</v>
      </c>
      <c r="U212" s="254">
        <f t="shared" si="12"/>
        <v>78630008.65449357</v>
      </c>
      <c r="V212" s="255">
        <f t="shared" si="12"/>
        <v>74214640.805857226</v>
      </c>
      <c r="W212" s="240">
        <f t="shared" si="13"/>
        <v>0</v>
      </c>
      <c r="X212" s="254">
        <f t="shared" si="14"/>
        <v>12019828.160683198</v>
      </c>
      <c r="Y212" s="254">
        <f t="shared" si="15"/>
        <v>13913741.874159269</v>
      </c>
      <c r="Z212" s="255">
        <f t="shared" si="16"/>
        <v>12321312.337410862</v>
      </c>
    </row>
    <row r="213" spans="2:26" ht="14.25">
      <c r="B213" s="243" t="s">
        <v>749</v>
      </c>
      <c r="C213" s="244">
        <v>6</v>
      </c>
      <c r="D213" s="244">
        <v>16</v>
      </c>
      <c r="E213" s="244">
        <v>13</v>
      </c>
      <c r="F213" s="244">
        <v>11</v>
      </c>
      <c r="G213" s="245">
        <v>46</v>
      </c>
      <c r="H213" s="256">
        <v>46</v>
      </c>
      <c r="I213" s="247">
        <f t="shared" si="17"/>
        <v>6</v>
      </c>
      <c r="J213" s="248">
        <f>+ROUNDUP(IFERROR((D213/$G213),(D$215/$G$215))*$H213,0)</f>
        <v>16</v>
      </c>
      <c r="K213" s="248">
        <f t="shared" si="19"/>
        <v>13</v>
      </c>
      <c r="L213" s="249">
        <f t="shared" si="18"/>
        <v>11</v>
      </c>
      <c r="M213" s="250">
        <f t="shared" si="9"/>
        <v>46</v>
      </c>
      <c r="N213" s="236">
        <f t="shared" si="10"/>
        <v>6.0975609756097563E-3</v>
      </c>
      <c r="O213" s="251">
        <f t="shared" si="10"/>
        <v>2.1680216802168022E-2</v>
      </c>
      <c r="P213" s="251">
        <f t="shared" si="10"/>
        <v>2.6422764227642278E-2</v>
      </c>
      <c r="Q213" s="252">
        <f t="shared" si="10"/>
        <v>3.3536585365853661E-2</v>
      </c>
      <c r="R213" s="253">
        <f t="shared" si="11"/>
        <v>8.7737127371273718E-2</v>
      </c>
      <c r="S213" s="240">
        <f t="shared" si="12"/>
        <v>1078.926483921</v>
      </c>
      <c r="T213" s="254">
        <f t="shared" si="12"/>
        <v>319704.15990411944</v>
      </c>
      <c r="U213" s="254">
        <f t="shared" si="12"/>
        <v>1168915.8706978709</v>
      </c>
      <c r="V213" s="255">
        <f t="shared" si="12"/>
        <v>2947151.800954619</v>
      </c>
      <c r="W213" s="240">
        <f t="shared" si="13"/>
        <v>0</v>
      </c>
      <c r="X213" s="254">
        <f t="shared" si="14"/>
        <v>63262.253477279985</v>
      </c>
      <c r="Y213" s="254">
        <f t="shared" si="15"/>
        <v>231302.61427630499</v>
      </c>
      <c r="Z213" s="255">
        <f t="shared" si="16"/>
        <v>489293.99173833744</v>
      </c>
    </row>
    <row r="214" spans="2:26" ht="15" thickBot="1">
      <c r="B214" s="263" t="s">
        <v>751</v>
      </c>
      <c r="C214" s="264">
        <v>0</v>
      </c>
      <c r="D214" s="264">
        <v>39</v>
      </c>
      <c r="E214" s="264">
        <v>3</v>
      </c>
      <c r="F214" s="264">
        <v>1</v>
      </c>
      <c r="G214" s="265">
        <v>43</v>
      </c>
      <c r="H214" s="266">
        <v>43</v>
      </c>
      <c r="I214" s="267">
        <f t="shared" si="17"/>
        <v>0</v>
      </c>
      <c r="J214" s="268">
        <f>+ROUNDUP(IFERROR((D214/$G214),(D$215/$G$215))*$H214,0)</f>
        <v>39</v>
      </c>
      <c r="K214" s="268">
        <f t="shared" si="19"/>
        <v>3</v>
      </c>
      <c r="L214" s="269">
        <f t="shared" si="18"/>
        <v>1</v>
      </c>
      <c r="M214" s="270">
        <f t="shared" si="9"/>
        <v>43</v>
      </c>
      <c r="N214" s="271">
        <f t="shared" si="10"/>
        <v>0</v>
      </c>
      <c r="O214" s="272">
        <f t="shared" si="10"/>
        <v>5.2845528455284549E-2</v>
      </c>
      <c r="P214" s="272">
        <f t="shared" si="10"/>
        <v>6.0975609756097563E-3</v>
      </c>
      <c r="Q214" s="273">
        <f t="shared" si="10"/>
        <v>3.0487804878048782E-3</v>
      </c>
      <c r="R214" s="274">
        <f t="shared" si="11"/>
        <v>6.1991869918699184E-2</v>
      </c>
      <c r="S214" s="275">
        <f t="shared" si="12"/>
        <v>0</v>
      </c>
      <c r="T214" s="276">
        <f t="shared" si="12"/>
        <v>0</v>
      </c>
      <c r="U214" s="276">
        <f t="shared" si="12"/>
        <v>0</v>
      </c>
      <c r="V214" s="277">
        <f t="shared" si="12"/>
        <v>0</v>
      </c>
      <c r="W214" s="275">
        <f t="shared" si="13"/>
        <v>0</v>
      </c>
      <c r="X214" s="276">
        <f t="shared" si="14"/>
        <v>154201.74285086995</v>
      </c>
      <c r="Y214" s="276">
        <f t="shared" si="15"/>
        <v>53377.526371454995</v>
      </c>
      <c r="Z214" s="277">
        <f t="shared" si="16"/>
        <v>44481.271976212498</v>
      </c>
    </row>
    <row r="215" spans="2:26" ht="15.75" thickBot="1">
      <c r="B215" s="278" t="s">
        <v>1207</v>
      </c>
      <c r="C215" s="279">
        <f t="shared" ref="C215:Q215" si="20">+SUM(C181:C214)</f>
        <v>13704</v>
      </c>
      <c r="D215" s="279">
        <f t="shared" si="20"/>
        <v>41268</v>
      </c>
      <c r="E215" s="279">
        <f t="shared" si="20"/>
        <v>13788</v>
      </c>
      <c r="F215" s="279">
        <f t="shared" si="20"/>
        <v>5105</v>
      </c>
      <c r="G215" s="279">
        <f t="shared" si="20"/>
        <v>73865</v>
      </c>
      <c r="H215" s="280">
        <f t="shared" si="20"/>
        <v>79062</v>
      </c>
      <c r="I215" s="279">
        <f t="shared" si="20"/>
        <v>14876</v>
      </c>
      <c r="J215" s="279">
        <f t="shared" si="20"/>
        <v>43710</v>
      </c>
      <c r="K215" s="281">
        <f t="shared" si="20"/>
        <v>14800</v>
      </c>
      <c r="L215" s="279">
        <f t="shared" si="20"/>
        <v>5676</v>
      </c>
      <c r="M215" s="279">
        <f t="shared" si="20"/>
        <v>79062</v>
      </c>
      <c r="N215" s="282">
        <f t="shared" si="20"/>
        <v>15.11788617886179</v>
      </c>
      <c r="O215" s="282">
        <f t="shared" si="20"/>
        <v>59.227642276422756</v>
      </c>
      <c r="P215" s="282">
        <f t="shared" si="20"/>
        <v>30.081300813008138</v>
      </c>
      <c r="Q215" s="282">
        <f t="shared" si="20"/>
        <v>17.304878048780488</v>
      </c>
      <c r="R215" s="279"/>
      <c r="S215" s="283">
        <f t="shared" ref="S215:Z215" si="21">+SUM(S181:S214)</f>
        <v>6564181.5258554006</v>
      </c>
      <c r="T215" s="283">
        <f t="shared" si="21"/>
        <v>212764589.64798951</v>
      </c>
      <c r="U215" s="283">
        <f t="shared" si="21"/>
        <v>258030768.16960317</v>
      </c>
      <c r="V215" s="283">
        <f t="shared" si="21"/>
        <v>362856813.20087433</v>
      </c>
      <c r="W215" s="283">
        <f t="shared" si="21"/>
        <v>0</v>
      </c>
      <c r="X215" s="283">
        <f t="shared" si="21"/>
        <v>172824568.71824428</v>
      </c>
      <c r="Y215" s="283">
        <f t="shared" si="21"/>
        <v>263329130.09917799</v>
      </c>
      <c r="Z215" s="283">
        <f t="shared" si="21"/>
        <v>252475699.73698211</v>
      </c>
    </row>
    <row r="217" spans="2:26">
      <c r="B217" s="29" t="s">
        <v>47</v>
      </c>
    </row>
    <row r="218" spans="2:26" ht="15">
      <c r="B218" s="370" t="s">
        <v>131</v>
      </c>
    </row>
    <row r="219" spans="2:26" ht="15">
      <c r="B219" s="370" t="s">
        <v>155</v>
      </c>
    </row>
    <row r="220" spans="2:26" ht="15">
      <c r="B220" s="370" t="s">
        <v>185</v>
      </c>
    </row>
    <row r="221" spans="2:26" ht="15">
      <c r="B221" s="370" t="s">
        <v>217</v>
      </c>
    </row>
    <row r="222" spans="2:26" ht="15">
      <c r="B222" s="370" t="s">
        <v>245</v>
      </c>
    </row>
    <row r="223" spans="2:26" ht="15">
      <c r="B223" s="370" t="s">
        <v>259</v>
      </c>
    </row>
    <row r="224" spans="2:26" ht="15">
      <c r="B224" s="370" t="s">
        <v>293</v>
      </c>
    </row>
    <row r="225" spans="2:2" ht="15">
      <c r="B225" s="370" t="s">
        <v>317</v>
      </c>
    </row>
    <row r="226" spans="2:2" ht="15">
      <c r="B226" s="370" t="s">
        <v>348</v>
      </c>
    </row>
    <row r="227" spans="2:2" ht="15">
      <c r="B227" s="370" t="s">
        <v>391</v>
      </c>
    </row>
    <row r="228" spans="2:2" ht="15">
      <c r="B228" s="370" t="s">
        <v>407</v>
      </c>
    </row>
    <row r="229" spans="2:2" ht="15">
      <c r="B229" s="370" t="s">
        <v>428</v>
      </c>
    </row>
    <row r="230" spans="2:2" ht="15">
      <c r="B230" s="370" t="s">
        <v>441</v>
      </c>
    </row>
    <row r="231" spans="2:2" ht="15">
      <c r="B231" s="370" t="s">
        <v>470</v>
      </c>
    </row>
    <row r="232" spans="2:2" ht="15">
      <c r="B232" s="370" t="s">
        <v>484</v>
      </c>
    </row>
    <row r="233" spans="2:2" ht="15">
      <c r="B233" s="370" t="s">
        <v>540</v>
      </c>
    </row>
    <row r="234" spans="2:2" ht="15">
      <c r="B234" s="370" t="s">
        <v>559</v>
      </c>
    </row>
    <row r="235" spans="2:2" ht="15">
      <c r="B235" s="370" t="s">
        <v>572</v>
      </c>
    </row>
    <row r="236" spans="2:2" ht="15">
      <c r="B236" s="370" t="s">
        <v>581</v>
      </c>
    </row>
    <row r="237" spans="2:2" ht="15">
      <c r="B237" s="370" t="s">
        <v>604</v>
      </c>
    </row>
    <row r="238" spans="2:2" ht="15">
      <c r="B238" s="370" t="s">
        <v>631</v>
      </c>
    </row>
    <row r="239" spans="2:2" ht="15">
      <c r="B239" s="370" t="s">
        <v>657</v>
      </c>
    </row>
    <row r="240" spans="2:2" ht="15">
      <c r="B240" s="370" t="s">
        <v>700</v>
      </c>
    </row>
    <row r="241" spans="2:2" ht="15">
      <c r="B241" s="370" t="s">
        <v>706</v>
      </c>
    </row>
    <row r="242" spans="2:2" ht="15">
      <c r="B242" s="370" t="s">
        <v>717</v>
      </c>
    </row>
    <row r="243" spans="2:2" ht="15">
      <c r="B243" s="370" t="s">
        <v>729</v>
      </c>
    </row>
    <row r="244" spans="2:2" ht="15">
      <c r="B244" s="370" t="s">
        <v>732</v>
      </c>
    </row>
    <row r="245" spans="2:2" ht="15">
      <c r="B245" s="370" t="s">
        <v>741</v>
      </c>
    </row>
    <row r="246" spans="2:2" ht="15">
      <c r="B246" s="370" t="s">
        <v>744</v>
      </c>
    </row>
    <row r="247" spans="2:2" ht="15">
      <c r="B247" s="370" t="s">
        <v>749</v>
      </c>
    </row>
    <row r="248" spans="2:2" ht="15">
      <c r="B248" s="370" t="s">
        <v>751</v>
      </c>
    </row>
    <row r="249" spans="2:2" ht="15">
      <c r="B249" s="370" t="s">
        <v>754</v>
      </c>
    </row>
    <row r="250" spans="2:2" ht="15">
      <c r="B250"/>
    </row>
    <row r="251" spans="2:2" ht="15">
      <c r="B251"/>
    </row>
    <row r="252" spans="2:2" ht="15">
      <c r="B252"/>
    </row>
    <row r="253" spans="2:2" ht="15">
      <c r="B253"/>
    </row>
    <row r="254" spans="2:2" ht="15">
      <c r="B254"/>
    </row>
    <row r="255" spans="2:2" ht="15">
      <c r="B255"/>
    </row>
    <row r="256" spans="2:2" ht="15">
      <c r="B256"/>
    </row>
    <row r="257" spans="2:2" ht="15">
      <c r="B257"/>
    </row>
    <row r="258" spans="2:2" ht="15">
      <c r="B258"/>
    </row>
    <row r="259" spans="2:2" ht="15">
      <c r="B259"/>
    </row>
    <row r="260" spans="2:2" ht="15">
      <c r="B260"/>
    </row>
    <row r="261" spans="2:2" ht="15">
      <c r="B261"/>
    </row>
    <row r="262" spans="2:2" ht="15">
      <c r="B262"/>
    </row>
    <row r="263" spans="2:2" ht="15">
      <c r="B263"/>
    </row>
    <row r="264" spans="2:2" ht="15">
      <c r="B264"/>
    </row>
    <row r="265" spans="2:2" ht="15">
      <c r="B265"/>
    </row>
    <row r="266" spans="2:2" ht="15">
      <c r="B266"/>
    </row>
    <row r="267" spans="2:2" ht="15">
      <c r="B267"/>
    </row>
    <row r="268" spans="2:2" ht="15">
      <c r="B268"/>
    </row>
    <row r="269" spans="2:2" ht="15">
      <c r="B269"/>
    </row>
    <row r="270" spans="2:2" ht="15">
      <c r="B270"/>
    </row>
    <row r="271" spans="2:2" ht="15">
      <c r="B271"/>
    </row>
    <row r="272" spans="2:2" ht="15">
      <c r="B272"/>
    </row>
    <row r="273" spans="2:2" ht="15">
      <c r="B273"/>
    </row>
    <row r="274" spans="2:2" ht="15">
      <c r="B274"/>
    </row>
    <row r="275" spans="2:2" ht="15">
      <c r="B275"/>
    </row>
    <row r="276" spans="2:2" ht="15">
      <c r="B276"/>
    </row>
    <row r="277" spans="2:2" ht="15">
      <c r="B277"/>
    </row>
    <row r="278" spans="2:2" ht="15">
      <c r="B278"/>
    </row>
    <row r="279" spans="2:2" ht="15">
      <c r="B279"/>
    </row>
    <row r="280" spans="2:2" ht="15">
      <c r="B280"/>
    </row>
    <row r="281" spans="2:2" ht="15">
      <c r="B281"/>
    </row>
    <row r="282" spans="2:2" ht="15">
      <c r="B282"/>
    </row>
    <row r="283" spans="2:2" ht="15">
      <c r="B283"/>
    </row>
    <row r="284" spans="2:2" ht="15">
      <c r="B284"/>
    </row>
    <row r="285" spans="2:2" ht="15">
      <c r="B285"/>
    </row>
    <row r="286" spans="2:2" ht="15">
      <c r="B286"/>
    </row>
    <row r="287" spans="2:2" ht="15">
      <c r="B287"/>
    </row>
    <row r="288" spans="2:2" ht="15">
      <c r="B288"/>
    </row>
    <row r="289" spans="2:2" ht="15">
      <c r="B289"/>
    </row>
    <row r="290" spans="2:2" ht="15">
      <c r="B290"/>
    </row>
    <row r="291" spans="2:2" ht="15">
      <c r="B291"/>
    </row>
    <row r="292" spans="2:2" ht="15">
      <c r="B292"/>
    </row>
    <row r="293" spans="2:2" ht="15">
      <c r="B293"/>
    </row>
    <row r="294" spans="2:2" ht="15">
      <c r="B294"/>
    </row>
    <row r="295" spans="2:2" ht="15">
      <c r="B295"/>
    </row>
    <row r="296" spans="2:2" ht="15">
      <c r="B296"/>
    </row>
    <row r="297" spans="2:2" ht="15">
      <c r="B297"/>
    </row>
    <row r="298" spans="2:2" ht="15">
      <c r="B298"/>
    </row>
    <row r="299" spans="2:2" ht="15">
      <c r="B299"/>
    </row>
    <row r="300" spans="2:2" ht="15">
      <c r="B300"/>
    </row>
    <row r="301" spans="2:2" ht="15">
      <c r="B301"/>
    </row>
    <row r="302" spans="2:2" ht="15">
      <c r="B302"/>
    </row>
    <row r="303" spans="2:2" ht="15">
      <c r="B303"/>
    </row>
    <row r="304" spans="2:2" ht="15">
      <c r="B304"/>
    </row>
    <row r="305" spans="2:2" ht="15">
      <c r="B305"/>
    </row>
    <row r="306" spans="2:2" ht="15">
      <c r="B306"/>
    </row>
    <row r="307" spans="2:2" ht="15">
      <c r="B307"/>
    </row>
    <row r="308" spans="2:2" ht="15">
      <c r="B308"/>
    </row>
    <row r="309" spans="2:2" ht="15">
      <c r="B309"/>
    </row>
    <row r="310" spans="2:2" ht="15">
      <c r="B310"/>
    </row>
    <row r="311" spans="2:2" ht="15">
      <c r="B311"/>
    </row>
    <row r="312" spans="2:2" ht="15">
      <c r="B312"/>
    </row>
    <row r="313" spans="2:2" ht="15">
      <c r="B313"/>
    </row>
    <row r="314" spans="2:2" ht="15">
      <c r="B314"/>
    </row>
    <row r="315" spans="2:2" ht="15">
      <c r="B315"/>
    </row>
    <row r="316" spans="2:2" ht="15">
      <c r="B316"/>
    </row>
    <row r="317" spans="2:2" ht="15">
      <c r="B317"/>
    </row>
    <row r="318" spans="2:2" ht="15">
      <c r="B318"/>
    </row>
    <row r="319" spans="2:2" ht="15">
      <c r="B319"/>
    </row>
    <row r="320" spans="2:2" ht="15">
      <c r="B320"/>
    </row>
    <row r="321" spans="2:2" ht="15">
      <c r="B321"/>
    </row>
    <row r="322" spans="2:2" ht="15">
      <c r="B322"/>
    </row>
    <row r="323" spans="2:2" ht="15">
      <c r="B323"/>
    </row>
    <row r="324" spans="2:2" ht="15">
      <c r="B324"/>
    </row>
    <row r="325" spans="2:2" ht="15">
      <c r="B325"/>
    </row>
    <row r="326" spans="2:2" ht="15">
      <c r="B326"/>
    </row>
    <row r="327" spans="2:2" ht="15">
      <c r="B327"/>
    </row>
    <row r="328" spans="2:2" ht="15">
      <c r="B328"/>
    </row>
    <row r="329" spans="2:2" ht="15">
      <c r="B329"/>
    </row>
    <row r="330" spans="2:2" ht="15">
      <c r="B330"/>
    </row>
    <row r="331" spans="2:2" ht="15">
      <c r="B331"/>
    </row>
    <row r="332" spans="2:2" ht="15">
      <c r="B332"/>
    </row>
    <row r="333" spans="2:2" ht="15">
      <c r="B333"/>
    </row>
    <row r="334" spans="2:2" ht="15">
      <c r="B334"/>
    </row>
    <row r="335" spans="2:2" ht="15">
      <c r="B335"/>
    </row>
    <row r="336" spans="2:2" ht="15">
      <c r="B336"/>
    </row>
    <row r="337" spans="2:2" ht="15">
      <c r="B337"/>
    </row>
    <row r="338" spans="2:2" ht="15">
      <c r="B338"/>
    </row>
    <row r="339" spans="2:2" ht="15">
      <c r="B339"/>
    </row>
    <row r="340" spans="2:2" ht="15">
      <c r="B340"/>
    </row>
    <row r="341" spans="2:2" ht="15">
      <c r="B341"/>
    </row>
    <row r="342" spans="2:2" ht="15">
      <c r="B342"/>
    </row>
    <row r="343" spans="2:2" ht="15">
      <c r="B343"/>
    </row>
    <row r="344" spans="2:2" ht="15">
      <c r="B344"/>
    </row>
    <row r="345" spans="2:2" ht="15">
      <c r="B345"/>
    </row>
    <row r="346" spans="2:2" ht="15">
      <c r="B346"/>
    </row>
    <row r="347" spans="2:2" ht="15">
      <c r="B347"/>
    </row>
    <row r="348" spans="2:2" ht="15">
      <c r="B348"/>
    </row>
    <row r="349" spans="2:2" ht="15">
      <c r="B349"/>
    </row>
    <row r="350" spans="2:2" ht="15">
      <c r="B350"/>
    </row>
    <row r="351" spans="2:2" ht="15">
      <c r="B351"/>
    </row>
    <row r="352" spans="2:2" ht="15">
      <c r="B352"/>
    </row>
    <row r="353" spans="2:2" ht="15">
      <c r="B353"/>
    </row>
    <row r="354" spans="2:2" ht="15">
      <c r="B354"/>
    </row>
    <row r="355" spans="2:2" ht="15">
      <c r="B355"/>
    </row>
    <row r="356" spans="2:2" ht="15">
      <c r="B356"/>
    </row>
    <row r="357" spans="2:2" ht="15">
      <c r="B357"/>
    </row>
    <row r="358" spans="2:2" ht="15">
      <c r="B358"/>
    </row>
    <row r="359" spans="2:2" ht="15">
      <c r="B359"/>
    </row>
    <row r="360" spans="2:2" ht="15">
      <c r="B360"/>
    </row>
    <row r="361" spans="2:2" ht="15">
      <c r="B361"/>
    </row>
    <row r="362" spans="2:2" ht="15">
      <c r="B362"/>
    </row>
    <row r="363" spans="2:2" ht="15">
      <c r="B363"/>
    </row>
    <row r="364" spans="2:2" ht="15">
      <c r="B364"/>
    </row>
    <row r="365" spans="2:2" ht="15">
      <c r="B365"/>
    </row>
    <row r="366" spans="2:2" ht="15">
      <c r="B366"/>
    </row>
    <row r="367" spans="2:2" ht="15">
      <c r="B367"/>
    </row>
    <row r="368" spans="2:2" ht="15">
      <c r="B368"/>
    </row>
    <row r="369" spans="2:2" ht="15">
      <c r="B369"/>
    </row>
    <row r="370" spans="2:2" ht="15">
      <c r="B370"/>
    </row>
    <row r="371" spans="2:2" ht="15">
      <c r="B371"/>
    </row>
    <row r="372" spans="2:2" ht="15">
      <c r="B372"/>
    </row>
    <row r="373" spans="2:2" ht="15">
      <c r="B373"/>
    </row>
    <row r="374" spans="2:2" ht="15">
      <c r="B374"/>
    </row>
    <row r="375" spans="2:2" ht="15">
      <c r="B375"/>
    </row>
    <row r="376" spans="2:2" ht="15">
      <c r="B376"/>
    </row>
    <row r="377" spans="2:2" ht="15">
      <c r="B377"/>
    </row>
    <row r="378" spans="2:2" ht="15">
      <c r="B378"/>
    </row>
    <row r="379" spans="2:2" ht="15">
      <c r="B379"/>
    </row>
    <row r="380" spans="2:2" ht="15">
      <c r="B380"/>
    </row>
    <row r="381" spans="2:2" ht="15">
      <c r="B381"/>
    </row>
    <row r="382" spans="2:2" ht="15">
      <c r="B382"/>
    </row>
    <row r="383" spans="2:2" ht="15">
      <c r="B383"/>
    </row>
    <row r="384" spans="2:2" ht="15">
      <c r="B384"/>
    </row>
    <row r="385" spans="2:2" ht="15">
      <c r="B385"/>
    </row>
    <row r="386" spans="2:2" ht="15">
      <c r="B386"/>
    </row>
    <row r="387" spans="2:2" ht="15">
      <c r="B387"/>
    </row>
    <row r="388" spans="2:2" ht="15">
      <c r="B388"/>
    </row>
    <row r="389" spans="2:2" ht="15">
      <c r="B389"/>
    </row>
    <row r="390" spans="2:2" ht="15">
      <c r="B390"/>
    </row>
    <row r="391" spans="2:2" ht="15">
      <c r="B391"/>
    </row>
    <row r="392" spans="2:2" ht="15">
      <c r="B392"/>
    </row>
    <row r="393" spans="2:2" ht="15">
      <c r="B393"/>
    </row>
    <row r="394" spans="2:2" ht="15">
      <c r="B394"/>
    </row>
    <row r="395" spans="2:2" ht="15">
      <c r="B395"/>
    </row>
    <row r="396" spans="2:2" ht="15">
      <c r="B396"/>
    </row>
    <row r="397" spans="2:2" ht="15">
      <c r="B397"/>
    </row>
    <row r="398" spans="2:2" ht="15">
      <c r="B398"/>
    </row>
    <row r="399" spans="2:2" ht="15">
      <c r="B399"/>
    </row>
    <row r="400" spans="2:2" ht="15">
      <c r="B400"/>
    </row>
    <row r="401" spans="2:2" ht="15">
      <c r="B401"/>
    </row>
    <row r="402" spans="2:2" ht="15">
      <c r="B402"/>
    </row>
    <row r="403" spans="2:2" ht="15">
      <c r="B403"/>
    </row>
    <row r="404" spans="2:2" ht="15">
      <c r="B404"/>
    </row>
    <row r="405" spans="2:2" ht="15">
      <c r="B405"/>
    </row>
    <row r="406" spans="2:2" ht="15">
      <c r="B406"/>
    </row>
    <row r="407" spans="2:2" ht="15">
      <c r="B407"/>
    </row>
    <row r="408" spans="2:2" ht="15">
      <c r="B408"/>
    </row>
    <row r="409" spans="2:2" ht="15">
      <c r="B409"/>
    </row>
    <row r="410" spans="2:2" ht="15">
      <c r="B410"/>
    </row>
    <row r="411" spans="2:2" ht="15">
      <c r="B411"/>
    </row>
    <row r="412" spans="2:2" ht="15">
      <c r="B412"/>
    </row>
    <row r="413" spans="2:2" ht="15">
      <c r="B413"/>
    </row>
    <row r="414" spans="2:2" ht="15">
      <c r="B414"/>
    </row>
    <row r="415" spans="2:2" ht="15">
      <c r="B415"/>
    </row>
    <row r="416" spans="2:2" ht="15">
      <c r="B416"/>
    </row>
    <row r="417" spans="2:2" ht="15">
      <c r="B417"/>
    </row>
    <row r="418" spans="2:2" ht="15">
      <c r="B418"/>
    </row>
    <row r="419" spans="2:2" ht="15">
      <c r="B419"/>
    </row>
    <row r="420" spans="2:2" ht="15">
      <c r="B420"/>
    </row>
    <row r="421" spans="2:2" ht="15">
      <c r="B421"/>
    </row>
    <row r="422" spans="2:2" ht="15">
      <c r="B422"/>
    </row>
    <row r="423" spans="2:2" ht="15">
      <c r="B423"/>
    </row>
    <row r="424" spans="2:2" ht="15">
      <c r="B424"/>
    </row>
    <row r="425" spans="2:2" ht="15">
      <c r="B425"/>
    </row>
    <row r="426" spans="2:2" ht="15">
      <c r="B426"/>
    </row>
    <row r="427" spans="2:2" ht="15">
      <c r="B427"/>
    </row>
    <row r="428" spans="2:2" ht="15">
      <c r="B428"/>
    </row>
    <row r="429" spans="2:2" ht="15">
      <c r="B429"/>
    </row>
    <row r="430" spans="2:2" ht="15">
      <c r="B430"/>
    </row>
    <row r="431" spans="2:2" ht="15">
      <c r="B431"/>
    </row>
    <row r="432" spans="2:2" ht="15">
      <c r="B432"/>
    </row>
    <row r="433" spans="2:2" ht="15">
      <c r="B433"/>
    </row>
    <row r="434" spans="2:2" ht="15">
      <c r="B434"/>
    </row>
    <row r="435" spans="2:2" ht="15">
      <c r="B435"/>
    </row>
    <row r="436" spans="2:2" ht="15">
      <c r="B436"/>
    </row>
    <row r="437" spans="2:2" ht="15">
      <c r="B437"/>
    </row>
    <row r="438" spans="2:2" ht="15">
      <c r="B438"/>
    </row>
    <row r="439" spans="2:2" ht="15">
      <c r="B439"/>
    </row>
    <row r="440" spans="2:2" ht="15">
      <c r="B440"/>
    </row>
    <row r="441" spans="2:2" ht="15">
      <c r="B441"/>
    </row>
    <row r="442" spans="2:2" ht="15">
      <c r="B442"/>
    </row>
    <row r="443" spans="2:2" ht="15">
      <c r="B443"/>
    </row>
    <row r="444" spans="2:2" ht="15">
      <c r="B444"/>
    </row>
    <row r="445" spans="2:2" ht="15">
      <c r="B445"/>
    </row>
    <row r="446" spans="2:2" ht="15">
      <c r="B446"/>
    </row>
    <row r="447" spans="2:2" ht="15">
      <c r="B447"/>
    </row>
    <row r="448" spans="2:2" ht="15">
      <c r="B448"/>
    </row>
    <row r="449" spans="2:2" ht="15">
      <c r="B449"/>
    </row>
    <row r="450" spans="2:2" ht="15">
      <c r="B450"/>
    </row>
    <row r="451" spans="2:2" ht="15">
      <c r="B451"/>
    </row>
    <row r="452" spans="2:2" ht="15">
      <c r="B452"/>
    </row>
    <row r="453" spans="2:2" ht="15">
      <c r="B453"/>
    </row>
    <row r="454" spans="2:2" ht="15">
      <c r="B454"/>
    </row>
    <row r="455" spans="2:2" ht="15">
      <c r="B455"/>
    </row>
    <row r="456" spans="2:2" ht="15">
      <c r="B456"/>
    </row>
    <row r="457" spans="2:2" ht="15">
      <c r="B457"/>
    </row>
    <row r="458" spans="2:2" ht="15">
      <c r="B458"/>
    </row>
    <row r="459" spans="2:2" ht="15">
      <c r="B459"/>
    </row>
    <row r="460" spans="2:2" ht="15">
      <c r="B460"/>
    </row>
    <row r="461" spans="2:2" ht="15">
      <c r="B461"/>
    </row>
    <row r="462" spans="2:2" ht="15">
      <c r="B462"/>
    </row>
    <row r="463" spans="2:2" ht="15">
      <c r="B463"/>
    </row>
    <row r="464" spans="2:2" ht="15">
      <c r="B464"/>
    </row>
    <row r="465" spans="2:2" ht="15">
      <c r="B465"/>
    </row>
    <row r="466" spans="2:2" ht="15">
      <c r="B466"/>
    </row>
    <row r="467" spans="2:2" ht="15">
      <c r="B467"/>
    </row>
    <row r="468" spans="2:2" ht="15">
      <c r="B468"/>
    </row>
    <row r="469" spans="2:2" ht="15">
      <c r="B469"/>
    </row>
    <row r="470" spans="2:2" ht="15">
      <c r="B470"/>
    </row>
    <row r="471" spans="2:2" ht="15">
      <c r="B471"/>
    </row>
    <row r="472" spans="2:2" ht="15">
      <c r="B472"/>
    </row>
    <row r="473" spans="2:2" ht="15">
      <c r="B473"/>
    </row>
    <row r="474" spans="2:2" ht="15">
      <c r="B474"/>
    </row>
    <row r="475" spans="2:2" ht="15">
      <c r="B475"/>
    </row>
    <row r="476" spans="2:2" ht="15">
      <c r="B476"/>
    </row>
    <row r="477" spans="2:2" ht="15">
      <c r="B477"/>
    </row>
    <row r="478" spans="2:2" ht="15">
      <c r="B478"/>
    </row>
    <row r="479" spans="2:2" ht="15">
      <c r="B479"/>
    </row>
    <row r="480" spans="2:2" ht="15">
      <c r="B480"/>
    </row>
    <row r="481" spans="2:2" ht="15">
      <c r="B481"/>
    </row>
    <row r="482" spans="2:2" ht="15">
      <c r="B482"/>
    </row>
    <row r="483" spans="2:2" ht="15">
      <c r="B483"/>
    </row>
    <row r="484" spans="2:2" ht="15">
      <c r="B484"/>
    </row>
    <row r="485" spans="2:2" ht="15">
      <c r="B485"/>
    </row>
    <row r="486" spans="2:2" ht="15">
      <c r="B486"/>
    </row>
    <row r="487" spans="2:2" ht="15">
      <c r="B487"/>
    </row>
    <row r="488" spans="2:2" ht="15">
      <c r="B488"/>
    </row>
    <row r="489" spans="2:2" ht="15">
      <c r="B489"/>
    </row>
    <row r="490" spans="2:2" ht="15">
      <c r="B490"/>
    </row>
    <row r="491" spans="2:2" ht="15">
      <c r="B491"/>
    </row>
    <row r="492" spans="2:2" ht="15">
      <c r="B492"/>
    </row>
    <row r="493" spans="2:2" ht="15">
      <c r="B493"/>
    </row>
    <row r="494" spans="2:2" ht="15">
      <c r="B494"/>
    </row>
    <row r="495" spans="2:2" ht="15">
      <c r="B495"/>
    </row>
    <row r="496" spans="2:2" ht="15">
      <c r="B496"/>
    </row>
    <row r="497" spans="2:2" ht="15">
      <c r="B497"/>
    </row>
    <row r="498" spans="2:2" ht="15">
      <c r="B498"/>
    </row>
    <row r="499" spans="2:2" ht="15">
      <c r="B499"/>
    </row>
    <row r="500" spans="2:2" ht="15">
      <c r="B500"/>
    </row>
    <row r="501" spans="2:2" ht="15">
      <c r="B501"/>
    </row>
    <row r="502" spans="2:2" ht="15">
      <c r="B502"/>
    </row>
    <row r="503" spans="2:2" ht="15">
      <c r="B503"/>
    </row>
    <row r="504" spans="2:2" ht="15">
      <c r="B504"/>
    </row>
    <row r="505" spans="2:2" ht="15">
      <c r="B505"/>
    </row>
    <row r="506" spans="2:2" ht="15">
      <c r="B506"/>
    </row>
    <row r="507" spans="2:2" ht="15">
      <c r="B507"/>
    </row>
    <row r="508" spans="2:2" ht="15">
      <c r="B508"/>
    </row>
    <row r="509" spans="2:2" ht="15">
      <c r="B509"/>
    </row>
    <row r="510" spans="2:2" ht="15">
      <c r="B510"/>
    </row>
    <row r="511" spans="2:2" ht="15">
      <c r="B511"/>
    </row>
    <row r="512" spans="2:2" ht="15">
      <c r="B512"/>
    </row>
    <row r="513" spans="2:2" ht="15">
      <c r="B513"/>
    </row>
    <row r="514" spans="2:2" ht="15">
      <c r="B514"/>
    </row>
    <row r="515" spans="2:2" ht="15">
      <c r="B515"/>
    </row>
    <row r="516" spans="2:2" ht="15">
      <c r="B516"/>
    </row>
    <row r="517" spans="2:2" ht="15">
      <c r="B517"/>
    </row>
    <row r="518" spans="2:2" ht="15">
      <c r="B518"/>
    </row>
    <row r="519" spans="2:2" ht="15">
      <c r="B519"/>
    </row>
    <row r="520" spans="2:2" ht="15">
      <c r="B520"/>
    </row>
    <row r="521" spans="2:2" ht="15">
      <c r="B521"/>
    </row>
    <row r="522" spans="2:2" ht="15">
      <c r="B522"/>
    </row>
    <row r="523" spans="2:2" ht="15">
      <c r="B523"/>
    </row>
    <row r="524" spans="2:2" ht="15">
      <c r="B524"/>
    </row>
    <row r="525" spans="2:2" ht="15">
      <c r="B525"/>
    </row>
    <row r="526" spans="2:2" ht="15">
      <c r="B526"/>
    </row>
    <row r="527" spans="2:2" ht="15">
      <c r="B527"/>
    </row>
    <row r="528" spans="2:2" ht="15">
      <c r="B528"/>
    </row>
    <row r="529" spans="2:2" ht="15">
      <c r="B529"/>
    </row>
    <row r="530" spans="2:2" ht="15">
      <c r="B530"/>
    </row>
    <row r="531" spans="2:2" ht="15">
      <c r="B531"/>
    </row>
    <row r="532" spans="2:2" ht="15">
      <c r="B532"/>
    </row>
    <row r="533" spans="2:2" ht="15">
      <c r="B533"/>
    </row>
    <row r="534" spans="2:2" ht="15">
      <c r="B534"/>
    </row>
    <row r="535" spans="2:2" ht="15">
      <c r="B535"/>
    </row>
    <row r="536" spans="2:2" ht="15">
      <c r="B536"/>
    </row>
    <row r="537" spans="2:2" ht="15">
      <c r="B537"/>
    </row>
    <row r="538" spans="2:2" ht="15">
      <c r="B538"/>
    </row>
    <row r="539" spans="2:2" ht="15">
      <c r="B539"/>
    </row>
    <row r="540" spans="2:2" ht="15">
      <c r="B540"/>
    </row>
    <row r="541" spans="2:2" ht="15">
      <c r="B541"/>
    </row>
    <row r="542" spans="2:2" ht="15">
      <c r="B542"/>
    </row>
    <row r="543" spans="2:2" ht="15">
      <c r="B543"/>
    </row>
    <row r="544" spans="2:2" ht="15">
      <c r="B544"/>
    </row>
    <row r="545" spans="2:2" ht="15">
      <c r="B545"/>
    </row>
    <row r="546" spans="2:2" ht="15">
      <c r="B546"/>
    </row>
    <row r="547" spans="2:2" ht="15">
      <c r="B547"/>
    </row>
    <row r="548" spans="2:2" ht="15">
      <c r="B548"/>
    </row>
    <row r="549" spans="2:2" ht="15">
      <c r="B549"/>
    </row>
    <row r="550" spans="2:2" ht="15">
      <c r="B550"/>
    </row>
    <row r="551" spans="2:2" ht="15">
      <c r="B551"/>
    </row>
    <row r="552" spans="2:2" ht="15">
      <c r="B552"/>
    </row>
    <row r="553" spans="2:2" ht="15">
      <c r="B553"/>
    </row>
    <row r="554" spans="2:2" ht="15">
      <c r="B554"/>
    </row>
    <row r="555" spans="2:2" ht="15">
      <c r="B555"/>
    </row>
    <row r="556" spans="2:2" ht="15">
      <c r="B556"/>
    </row>
    <row r="557" spans="2:2" ht="15">
      <c r="B557"/>
    </row>
    <row r="558" spans="2:2" ht="15">
      <c r="B558"/>
    </row>
    <row r="559" spans="2:2" ht="15">
      <c r="B559"/>
    </row>
    <row r="560" spans="2:2" ht="15">
      <c r="B560"/>
    </row>
    <row r="561" spans="2:2" ht="15">
      <c r="B561"/>
    </row>
    <row r="562" spans="2:2" ht="15">
      <c r="B562"/>
    </row>
    <row r="563" spans="2:2" ht="15">
      <c r="B563"/>
    </row>
    <row r="564" spans="2:2" ht="15">
      <c r="B564"/>
    </row>
    <row r="565" spans="2:2" ht="15">
      <c r="B565"/>
    </row>
    <row r="566" spans="2:2" ht="15">
      <c r="B566"/>
    </row>
    <row r="567" spans="2:2" ht="15">
      <c r="B567"/>
    </row>
    <row r="568" spans="2:2" ht="15">
      <c r="B568"/>
    </row>
    <row r="569" spans="2:2" ht="15">
      <c r="B569"/>
    </row>
    <row r="570" spans="2:2" ht="15">
      <c r="B570"/>
    </row>
    <row r="571" spans="2:2" ht="15">
      <c r="B571"/>
    </row>
    <row r="572" spans="2:2" ht="15">
      <c r="B572"/>
    </row>
    <row r="573" spans="2:2" ht="15">
      <c r="B573"/>
    </row>
    <row r="574" spans="2:2" ht="15">
      <c r="B574"/>
    </row>
    <row r="575" spans="2:2" ht="15">
      <c r="B575"/>
    </row>
    <row r="576" spans="2:2" ht="15">
      <c r="B576"/>
    </row>
    <row r="577" spans="2:2" ht="15">
      <c r="B577"/>
    </row>
    <row r="578" spans="2:2" ht="15">
      <c r="B578"/>
    </row>
    <row r="579" spans="2:2" ht="15">
      <c r="B579"/>
    </row>
    <row r="580" spans="2:2" ht="15">
      <c r="B580"/>
    </row>
    <row r="581" spans="2:2" ht="15">
      <c r="B581"/>
    </row>
    <row r="582" spans="2:2" ht="15">
      <c r="B582"/>
    </row>
    <row r="583" spans="2:2" ht="15">
      <c r="B583"/>
    </row>
    <row r="584" spans="2:2" ht="15">
      <c r="B584"/>
    </row>
    <row r="585" spans="2:2" ht="15">
      <c r="B585"/>
    </row>
    <row r="586" spans="2:2" ht="15">
      <c r="B586"/>
    </row>
    <row r="587" spans="2:2" ht="15">
      <c r="B587"/>
    </row>
    <row r="588" spans="2:2" ht="15">
      <c r="B588"/>
    </row>
    <row r="589" spans="2:2" ht="15">
      <c r="B589"/>
    </row>
    <row r="590" spans="2:2" ht="15">
      <c r="B590"/>
    </row>
    <row r="591" spans="2:2" ht="15">
      <c r="B591"/>
    </row>
    <row r="592" spans="2:2" ht="15">
      <c r="B592"/>
    </row>
    <row r="593" spans="2:2" ht="15">
      <c r="B593"/>
    </row>
    <row r="594" spans="2:2" ht="15">
      <c r="B594"/>
    </row>
    <row r="595" spans="2:2" ht="15">
      <c r="B595"/>
    </row>
    <row r="596" spans="2:2" ht="15">
      <c r="B596"/>
    </row>
    <row r="597" spans="2:2" ht="15">
      <c r="B597"/>
    </row>
    <row r="598" spans="2:2" ht="15">
      <c r="B598"/>
    </row>
    <row r="599" spans="2:2" ht="15">
      <c r="B599"/>
    </row>
    <row r="600" spans="2:2" ht="15">
      <c r="B600"/>
    </row>
    <row r="601" spans="2:2" ht="15">
      <c r="B601"/>
    </row>
    <row r="602" spans="2:2" ht="15">
      <c r="B602"/>
    </row>
    <row r="603" spans="2:2" ht="15">
      <c r="B603"/>
    </row>
    <row r="604" spans="2:2" ht="15">
      <c r="B604"/>
    </row>
    <row r="605" spans="2:2" ht="15">
      <c r="B605"/>
    </row>
    <row r="606" spans="2:2" ht="15">
      <c r="B606"/>
    </row>
    <row r="607" spans="2:2" ht="15">
      <c r="B607"/>
    </row>
    <row r="608" spans="2:2" ht="15">
      <c r="B608"/>
    </row>
    <row r="609" spans="2:2" ht="15">
      <c r="B609"/>
    </row>
    <row r="610" spans="2:2" ht="15">
      <c r="B610"/>
    </row>
    <row r="611" spans="2:2" ht="15">
      <c r="B611"/>
    </row>
    <row r="612" spans="2:2" ht="15">
      <c r="B612"/>
    </row>
    <row r="613" spans="2:2" ht="15">
      <c r="B613"/>
    </row>
    <row r="614" spans="2:2" ht="15">
      <c r="B614"/>
    </row>
    <row r="615" spans="2:2" ht="15">
      <c r="B615"/>
    </row>
    <row r="616" spans="2:2" ht="15">
      <c r="B616"/>
    </row>
    <row r="617" spans="2:2" ht="15">
      <c r="B617"/>
    </row>
    <row r="618" spans="2:2" ht="15">
      <c r="B618"/>
    </row>
    <row r="619" spans="2:2" ht="15">
      <c r="B619"/>
    </row>
    <row r="620" spans="2:2" ht="15">
      <c r="B620"/>
    </row>
    <row r="621" spans="2:2" ht="15">
      <c r="B621"/>
    </row>
    <row r="622" spans="2:2" ht="15">
      <c r="B622"/>
    </row>
    <row r="623" spans="2:2" ht="15">
      <c r="B623"/>
    </row>
    <row r="624" spans="2:2" ht="15">
      <c r="B624"/>
    </row>
    <row r="625" spans="2:2" ht="15">
      <c r="B625"/>
    </row>
    <row r="626" spans="2:2" ht="15">
      <c r="B626"/>
    </row>
    <row r="627" spans="2:2" ht="15">
      <c r="B627"/>
    </row>
    <row r="628" spans="2:2" ht="15">
      <c r="B628"/>
    </row>
    <row r="629" spans="2:2" ht="15">
      <c r="B629"/>
    </row>
    <row r="630" spans="2:2" ht="15">
      <c r="B630"/>
    </row>
    <row r="631" spans="2:2" ht="15">
      <c r="B631"/>
    </row>
    <row r="632" spans="2:2" ht="15">
      <c r="B632"/>
    </row>
    <row r="633" spans="2:2" ht="15">
      <c r="B633"/>
    </row>
    <row r="634" spans="2:2" ht="15">
      <c r="B634"/>
    </row>
    <row r="635" spans="2:2" ht="15">
      <c r="B635"/>
    </row>
    <row r="636" spans="2:2" ht="15">
      <c r="B636"/>
    </row>
    <row r="637" spans="2:2" ht="15">
      <c r="B637"/>
    </row>
    <row r="638" spans="2:2" ht="15">
      <c r="B638"/>
    </row>
    <row r="639" spans="2:2" ht="15">
      <c r="B639"/>
    </row>
    <row r="640" spans="2:2" ht="15">
      <c r="B640"/>
    </row>
    <row r="641" spans="2:2" ht="15">
      <c r="B641"/>
    </row>
    <row r="642" spans="2:2" ht="15">
      <c r="B642"/>
    </row>
    <row r="643" spans="2:2" ht="15">
      <c r="B643"/>
    </row>
    <row r="644" spans="2:2" ht="15">
      <c r="B644"/>
    </row>
    <row r="645" spans="2:2" ht="15">
      <c r="B645"/>
    </row>
    <row r="646" spans="2:2" ht="15">
      <c r="B646"/>
    </row>
    <row r="647" spans="2:2" ht="15">
      <c r="B647"/>
    </row>
    <row r="648" spans="2:2" ht="15">
      <c r="B648"/>
    </row>
    <row r="649" spans="2:2" ht="15">
      <c r="B649"/>
    </row>
    <row r="650" spans="2:2" ht="15">
      <c r="B650"/>
    </row>
    <row r="651" spans="2:2" ht="15">
      <c r="B651"/>
    </row>
    <row r="652" spans="2:2" ht="15">
      <c r="B652"/>
    </row>
    <row r="653" spans="2:2" ht="15">
      <c r="B653"/>
    </row>
    <row r="654" spans="2:2" ht="15">
      <c r="B654"/>
    </row>
    <row r="655" spans="2:2" ht="15">
      <c r="B655"/>
    </row>
    <row r="656" spans="2:2" ht="15">
      <c r="B656"/>
    </row>
    <row r="657" spans="2:2" ht="15">
      <c r="B657"/>
    </row>
    <row r="658" spans="2:2" ht="15">
      <c r="B658"/>
    </row>
    <row r="659" spans="2:2" ht="15">
      <c r="B659"/>
    </row>
    <row r="660" spans="2:2" ht="15">
      <c r="B660"/>
    </row>
    <row r="661" spans="2:2" ht="15">
      <c r="B661"/>
    </row>
    <row r="662" spans="2:2" ht="15">
      <c r="B662"/>
    </row>
    <row r="663" spans="2:2" ht="15">
      <c r="B663"/>
    </row>
    <row r="664" spans="2:2" ht="15">
      <c r="B664"/>
    </row>
    <row r="665" spans="2:2" ht="15">
      <c r="B665"/>
    </row>
    <row r="666" spans="2:2" ht="15">
      <c r="B666"/>
    </row>
    <row r="667" spans="2:2" ht="15">
      <c r="B667"/>
    </row>
    <row r="668" spans="2:2" ht="15">
      <c r="B668"/>
    </row>
    <row r="669" spans="2:2" ht="15">
      <c r="B669"/>
    </row>
    <row r="670" spans="2:2" ht="15">
      <c r="B670"/>
    </row>
    <row r="671" spans="2:2" ht="15">
      <c r="B671"/>
    </row>
    <row r="672" spans="2:2" ht="15">
      <c r="B672"/>
    </row>
    <row r="673" spans="2:2" ht="15">
      <c r="B673"/>
    </row>
    <row r="674" spans="2:2" ht="15">
      <c r="B674"/>
    </row>
    <row r="675" spans="2:2" ht="15">
      <c r="B675"/>
    </row>
    <row r="676" spans="2:2" ht="15">
      <c r="B676"/>
    </row>
    <row r="677" spans="2:2" ht="15">
      <c r="B677"/>
    </row>
    <row r="678" spans="2:2" ht="15">
      <c r="B678"/>
    </row>
    <row r="679" spans="2:2" ht="15">
      <c r="B679"/>
    </row>
    <row r="680" spans="2:2" ht="15">
      <c r="B680"/>
    </row>
    <row r="681" spans="2:2" ht="15">
      <c r="B681"/>
    </row>
    <row r="682" spans="2:2" ht="15">
      <c r="B682"/>
    </row>
    <row r="683" spans="2:2" ht="15">
      <c r="B683"/>
    </row>
    <row r="684" spans="2:2" ht="15">
      <c r="B684"/>
    </row>
    <row r="685" spans="2:2" ht="15">
      <c r="B685"/>
    </row>
    <row r="686" spans="2:2" ht="15">
      <c r="B686"/>
    </row>
    <row r="687" spans="2:2" ht="15">
      <c r="B687"/>
    </row>
    <row r="688" spans="2:2" ht="15">
      <c r="B688"/>
    </row>
    <row r="689" spans="2:2" ht="15">
      <c r="B689"/>
    </row>
    <row r="690" spans="2:2" ht="15">
      <c r="B690"/>
    </row>
    <row r="691" spans="2:2" ht="15">
      <c r="B691"/>
    </row>
    <row r="692" spans="2:2" ht="15">
      <c r="B692"/>
    </row>
    <row r="693" spans="2:2" ht="15">
      <c r="B693"/>
    </row>
    <row r="694" spans="2:2" ht="15">
      <c r="B694"/>
    </row>
    <row r="695" spans="2:2" ht="15">
      <c r="B695"/>
    </row>
    <row r="696" spans="2:2" ht="15">
      <c r="B696"/>
    </row>
    <row r="697" spans="2:2" ht="15">
      <c r="B697"/>
    </row>
    <row r="698" spans="2:2" ht="15">
      <c r="B698"/>
    </row>
    <row r="699" spans="2:2" ht="15">
      <c r="B699"/>
    </row>
    <row r="700" spans="2:2" ht="15">
      <c r="B700"/>
    </row>
    <row r="701" spans="2:2" ht="15">
      <c r="B701"/>
    </row>
    <row r="702" spans="2:2" ht="15">
      <c r="B702"/>
    </row>
    <row r="703" spans="2:2" ht="15">
      <c r="B703"/>
    </row>
    <row r="704" spans="2:2" ht="15">
      <c r="B704"/>
    </row>
    <row r="705" spans="2:2" ht="15">
      <c r="B705"/>
    </row>
    <row r="706" spans="2:2" ht="15">
      <c r="B706"/>
    </row>
    <row r="707" spans="2:2" ht="15">
      <c r="B707"/>
    </row>
    <row r="708" spans="2:2" ht="15">
      <c r="B708"/>
    </row>
    <row r="709" spans="2:2" ht="15">
      <c r="B709"/>
    </row>
    <row r="710" spans="2:2" ht="15">
      <c r="B710"/>
    </row>
    <row r="711" spans="2:2" ht="15">
      <c r="B711"/>
    </row>
    <row r="712" spans="2:2" ht="15">
      <c r="B712"/>
    </row>
    <row r="713" spans="2:2" ht="15">
      <c r="B713"/>
    </row>
    <row r="714" spans="2:2" ht="15">
      <c r="B714"/>
    </row>
    <row r="715" spans="2:2" ht="15">
      <c r="B715"/>
    </row>
    <row r="716" spans="2:2" ht="15">
      <c r="B716"/>
    </row>
    <row r="717" spans="2:2" ht="15">
      <c r="B717"/>
    </row>
    <row r="718" spans="2:2" ht="15">
      <c r="B718"/>
    </row>
    <row r="719" spans="2:2" ht="15">
      <c r="B719"/>
    </row>
    <row r="720" spans="2:2" ht="15">
      <c r="B720"/>
    </row>
    <row r="721" spans="2:2" ht="15">
      <c r="B721"/>
    </row>
    <row r="722" spans="2:2" ht="15">
      <c r="B722"/>
    </row>
    <row r="723" spans="2:2" ht="15">
      <c r="B723"/>
    </row>
    <row r="724" spans="2:2" ht="15">
      <c r="B724"/>
    </row>
    <row r="725" spans="2:2" ht="15">
      <c r="B725"/>
    </row>
    <row r="726" spans="2:2" ht="15">
      <c r="B726"/>
    </row>
    <row r="727" spans="2:2" ht="15">
      <c r="B727"/>
    </row>
    <row r="728" spans="2:2" ht="15">
      <c r="B728"/>
    </row>
    <row r="729" spans="2:2" ht="15">
      <c r="B729"/>
    </row>
    <row r="730" spans="2:2" ht="15">
      <c r="B730"/>
    </row>
    <row r="731" spans="2:2" ht="15">
      <c r="B731"/>
    </row>
    <row r="732" spans="2:2" ht="15">
      <c r="B732"/>
    </row>
    <row r="733" spans="2:2" ht="15">
      <c r="B733"/>
    </row>
    <row r="734" spans="2:2" ht="15">
      <c r="B734"/>
    </row>
    <row r="735" spans="2:2" ht="15">
      <c r="B735"/>
    </row>
    <row r="736" spans="2:2" ht="15">
      <c r="B736"/>
    </row>
    <row r="737" spans="2:2" ht="15">
      <c r="B737"/>
    </row>
    <row r="738" spans="2:2" ht="15">
      <c r="B738"/>
    </row>
    <row r="739" spans="2:2" ht="15">
      <c r="B739"/>
    </row>
    <row r="740" spans="2:2" ht="15">
      <c r="B740"/>
    </row>
    <row r="741" spans="2:2" ht="15">
      <c r="B741"/>
    </row>
    <row r="742" spans="2:2" ht="15">
      <c r="B742"/>
    </row>
    <row r="743" spans="2:2" ht="15">
      <c r="B743"/>
    </row>
    <row r="744" spans="2:2" ht="15">
      <c r="B744"/>
    </row>
    <row r="745" spans="2:2" ht="15">
      <c r="B745"/>
    </row>
    <row r="746" spans="2:2" ht="15">
      <c r="B746"/>
    </row>
    <row r="747" spans="2:2" ht="15">
      <c r="B747"/>
    </row>
    <row r="748" spans="2:2" ht="15">
      <c r="B748"/>
    </row>
    <row r="749" spans="2:2" ht="15">
      <c r="B749"/>
    </row>
    <row r="750" spans="2:2" ht="15">
      <c r="B750"/>
    </row>
    <row r="751" spans="2:2" ht="15">
      <c r="B751"/>
    </row>
    <row r="752" spans="2:2" ht="15">
      <c r="B752"/>
    </row>
    <row r="753" spans="2:2" ht="15">
      <c r="B753"/>
    </row>
    <row r="754" spans="2:2" ht="15">
      <c r="B754"/>
    </row>
    <row r="755" spans="2:2" ht="15">
      <c r="B755"/>
    </row>
    <row r="756" spans="2:2" ht="15">
      <c r="B756"/>
    </row>
    <row r="757" spans="2:2" ht="15">
      <c r="B757"/>
    </row>
    <row r="758" spans="2:2" ht="15">
      <c r="B758"/>
    </row>
    <row r="759" spans="2:2" ht="15">
      <c r="B759"/>
    </row>
    <row r="760" spans="2:2" ht="15">
      <c r="B760"/>
    </row>
    <row r="761" spans="2:2" ht="15">
      <c r="B761"/>
    </row>
    <row r="762" spans="2:2" ht="15">
      <c r="B762"/>
    </row>
    <row r="763" spans="2:2" ht="15">
      <c r="B763"/>
    </row>
    <row r="764" spans="2:2" ht="15">
      <c r="B764"/>
    </row>
    <row r="765" spans="2:2" ht="15">
      <c r="B765"/>
    </row>
    <row r="766" spans="2:2" ht="15">
      <c r="B766"/>
    </row>
    <row r="767" spans="2:2" ht="15">
      <c r="B767"/>
    </row>
    <row r="768" spans="2:2" ht="15">
      <c r="B768"/>
    </row>
    <row r="769" spans="2:2" ht="15">
      <c r="B769"/>
    </row>
    <row r="770" spans="2:2" ht="15">
      <c r="B770"/>
    </row>
    <row r="771" spans="2:2" ht="15">
      <c r="B771"/>
    </row>
    <row r="772" spans="2:2" ht="15">
      <c r="B772"/>
    </row>
    <row r="773" spans="2:2" ht="15">
      <c r="B773"/>
    </row>
    <row r="774" spans="2:2" ht="15">
      <c r="B774"/>
    </row>
    <row r="775" spans="2:2" ht="15">
      <c r="B775"/>
    </row>
    <row r="776" spans="2:2" ht="15">
      <c r="B776"/>
    </row>
    <row r="777" spans="2:2" ht="15">
      <c r="B777"/>
    </row>
    <row r="778" spans="2:2" ht="15">
      <c r="B778"/>
    </row>
    <row r="779" spans="2:2" ht="15">
      <c r="B779"/>
    </row>
    <row r="780" spans="2:2" ht="15">
      <c r="B780"/>
    </row>
    <row r="781" spans="2:2" ht="15">
      <c r="B781"/>
    </row>
    <row r="782" spans="2:2" ht="15">
      <c r="B782"/>
    </row>
    <row r="783" spans="2:2" ht="15">
      <c r="B783"/>
    </row>
    <row r="784" spans="2:2" ht="15">
      <c r="B784"/>
    </row>
    <row r="785" spans="2:2" ht="15">
      <c r="B785"/>
    </row>
    <row r="786" spans="2:2" ht="15">
      <c r="B786"/>
    </row>
    <row r="787" spans="2:2" ht="15">
      <c r="B787"/>
    </row>
    <row r="788" spans="2:2" ht="15">
      <c r="B788"/>
    </row>
    <row r="789" spans="2:2" ht="15">
      <c r="B789"/>
    </row>
    <row r="790" spans="2:2" ht="15">
      <c r="B790"/>
    </row>
    <row r="791" spans="2:2" ht="15">
      <c r="B791"/>
    </row>
    <row r="792" spans="2:2" ht="15">
      <c r="B792"/>
    </row>
    <row r="793" spans="2:2" ht="15">
      <c r="B793"/>
    </row>
    <row r="794" spans="2:2" ht="15">
      <c r="B794"/>
    </row>
    <row r="795" spans="2:2" ht="15">
      <c r="B795"/>
    </row>
    <row r="796" spans="2:2" ht="15">
      <c r="B796"/>
    </row>
    <row r="797" spans="2:2" ht="15">
      <c r="B797"/>
    </row>
    <row r="798" spans="2:2" ht="15">
      <c r="B798"/>
    </row>
    <row r="799" spans="2:2" ht="15">
      <c r="B799"/>
    </row>
    <row r="800" spans="2:2" ht="15">
      <c r="B800"/>
    </row>
    <row r="801" spans="2:2" ht="15">
      <c r="B801"/>
    </row>
    <row r="802" spans="2:2" ht="15">
      <c r="B802"/>
    </row>
    <row r="803" spans="2:2" ht="15">
      <c r="B803"/>
    </row>
    <row r="804" spans="2:2" ht="15">
      <c r="B804"/>
    </row>
    <row r="805" spans="2:2" ht="15">
      <c r="B805"/>
    </row>
    <row r="806" spans="2:2" ht="15">
      <c r="B806"/>
    </row>
    <row r="807" spans="2:2" ht="15">
      <c r="B807"/>
    </row>
    <row r="808" spans="2:2" ht="15">
      <c r="B808"/>
    </row>
    <row r="809" spans="2:2" ht="15">
      <c r="B809"/>
    </row>
    <row r="810" spans="2:2" ht="15">
      <c r="B810"/>
    </row>
    <row r="811" spans="2:2" ht="15">
      <c r="B811"/>
    </row>
    <row r="812" spans="2:2" ht="15">
      <c r="B812"/>
    </row>
    <row r="813" spans="2:2" ht="15">
      <c r="B813"/>
    </row>
    <row r="814" spans="2:2" ht="15">
      <c r="B814"/>
    </row>
    <row r="815" spans="2:2" ht="15">
      <c r="B815"/>
    </row>
    <row r="816" spans="2:2" ht="15">
      <c r="B816"/>
    </row>
    <row r="817" spans="2:2" ht="15">
      <c r="B817"/>
    </row>
    <row r="818" spans="2:2" ht="15">
      <c r="B818"/>
    </row>
    <row r="819" spans="2:2" ht="15">
      <c r="B819"/>
    </row>
    <row r="820" spans="2:2" ht="15">
      <c r="B820"/>
    </row>
    <row r="821" spans="2:2" ht="15">
      <c r="B821"/>
    </row>
    <row r="822" spans="2:2" ht="15">
      <c r="B822"/>
    </row>
    <row r="823" spans="2:2" ht="15">
      <c r="B823"/>
    </row>
    <row r="824" spans="2:2" ht="15">
      <c r="B824"/>
    </row>
    <row r="825" spans="2:2" ht="15">
      <c r="B825"/>
    </row>
    <row r="826" spans="2:2" ht="15">
      <c r="B826"/>
    </row>
    <row r="827" spans="2:2" ht="15">
      <c r="B827"/>
    </row>
    <row r="828" spans="2:2" ht="15">
      <c r="B828"/>
    </row>
    <row r="829" spans="2:2" ht="15">
      <c r="B829"/>
    </row>
    <row r="830" spans="2:2" ht="15">
      <c r="B830"/>
    </row>
    <row r="831" spans="2:2" ht="15">
      <c r="B831"/>
    </row>
    <row r="832" spans="2:2" ht="15">
      <c r="B832"/>
    </row>
    <row r="833" spans="2:2" ht="15">
      <c r="B833"/>
    </row>
    <row r="834" spans="2:2" ht="15">
      <c r="B834"/>
    </row>
    <row r="835" spans="2:2" ht="15">
      <c r="B835"/>
    </row>
    <row r="836" spans="2:2" ht="15">
      <c r="B836"/>
    </row>
    <row r="837" spans="2:2" ht="15">
      <c r="B837"/>
    </row>
    <row r="838" spans="2:2" ht="15">
      <c r="B838"/>
    </row>
    <row r="839" spans="2:2" ht="15">
      <c r="B839"/>
    </row>
    <row r="840" spans="2:2" ht="15">
      <c r="B840"/>
    </row>
    <row r="841" spans="2:2" ht="15">
      <c r="B841"/>
    </row>
    <row r="842" spans="2:2" ht="15">
      <c r="B842"/>
    </row>
    <row r="843" spans="2:2" ht="15">
      <c r="B843"/>
    </row>
    <row r="844" spans="2:2" ht="15">
      <c r="B844"/>
    </row>
    <row r="845" spans="2:2" ht="15">
      <c r="B845"/>
    </row>
    <row r="846" spans="2:2" ht="15">
      <c r="B846"/>
    </row>
    <row r="847" spans="2:2" ht="15">
      <c r="B847"/>
    </row>
    <row r="848" spans="2:2" ht="15">
      <c r="B848"/>
    </row>
    <row r="849" spans="2:2" ht="15">
      <c r="B849"/>
    </row>
    <row r="850" spans="2:2" ht="15">
      <c r="B850"/>
    </row>
    <row r="851" spans="2:2" ht="15">
      <c r="B851"/>
    </row>
    <row r="852" spans="2:2" ht="15">
      <c r="B852"/>
    </row>
    <row r="853" spans="2:2" ht="15">
      <c r="B853"/>
    </row>
    <row r="854" spans="2:2" ht="15">
      <c r="B854"/>
    </row>
    <row r="855" spans="2:2" ht="15">
      <c r="B855"/>
    </row>
    <row r="856" spans="2:2" ht="15">
      <c r="B856"/>
    </row>
    <row r="857" spans="2:2" ht="15">
      <c r="B857"/>
    </row>
    <row r="858" spans="2:2" ht="15">
      <c r="B858"/>
    </row>
    <row r="859" spans="2:2" ht="15">
      <c r="B859"/>
    </row>
    <row r="860" spans="2:2" ht="15">
      <c r="B860"/>
    </row>
    <row r="861" spans="2:2" ht="15">
      <c r="B861"/>
    </row>
    <row r="862" spans="2:2" ht="15">
      <c r="B862"/>
    </row>
    <row r="863" spans="2:2" ht="15">
      <c r="B863"/>
    </row>
    <row r="864" spans="2:2" ht="15">
      <c r="B864"/>
    </row>
    <row r="865" spans="2:2" ht="15">
      <c r="B865"/>
    </row>
    <row r="866" spans="2:2" ht="15">
      <c r="B866"/>
    </row>
    <row r="867" spans="2:2" ht="15">
      <c r="B867"/>
    </row>
    <row r="868" spans="2:2" ht="15">
      <c r="B868"/>
    </row>
    <row r="869" spans="2:2" ht="15">
      <c r="B869"/>
    </row>
    <row r="870" spans="2:2" ht="15">
      <c r="B870"/>
    </row>
    <row r="871" spans="2:2" ht="15">
      <c r="B871"/>
    </row>
    <row r="872" spans="2:2" ht="15">
      <c r="B872"/>
    </row>
    <row r="873" spans="2:2" ht="15">
      <c r="B873"/>
    </row>
    <row r="874" spans="2:2" ht="15">
      <c r="B874"/>
    </row>
    <row r="875" spans="2:2" ht="15">
      <c r="B875"/>
    </row>
    <row r="876" spans="2:2" ht="15">
      <c r="B876"/>
    </row>
    <row r="877" spans="2:2" ht="15">
      <c r="B877"/>
    </row>
    <row r="878" spans="2:2" ht="15">
      <c r="B878"/>
    </row>
    <row r="879" spans="2:2" ht="15">
      <c r="B879"/>
    </row>
    <row r="880" spans="2:2" ht="15">
      <c r="B880"/>
    </row>
    <row r="881" spans="2:2" ht="15">
      <c r="B881"/>
    </row>
    <row r="882" spans="2:2" ht="15">
      <c r="B882"/>
    </row>
    <row r="883" spans="2:2" ht="15">
      <c r="B883"/>
    </row>
    <row r="884" spans="2:2" ht="15">
      <c r="B884"/>
    </row>
    <row r="885" spans="2:2" ht="15">
      <c r="B885"/>
    </row>
    <row r="886" spans="2:2" ht="15">
      <c r="B886"/>
    </row>
    <row r="887" spans="2:2" ht="15">
      <c r="B887"/>
    </row>
    <row r="888" spans="2:2" ht="15">
      <c r="B888"/>
    </row>
    <row r="889" spans="2:2" ht="15">
      <c r="B889"/>
    </row>
    <row r="890" spans="2:2" ht="15">
      <c r="B890"/>
    </row>
    <row r="891" spans="2:2" ht="15">
      <c r="B891"/>
    </row>
    <row r="892" spans="2:2" ht="15">
      <c r="B892"/>
    </row>
    <row r="893" spans="2:2" ht="15">
      <c r="B893"/>
    </row>
    <row r="894" spans="2:2" ht="15">
      <c r="B894"/>
    </row>
    <row r="895" spans="2:2" ht="15">
      <c r="B895"/>
    </row>
    <row r="896" spans="2:2" ht="15">
      <c r="B896"/>
    </row>
    <row r="897" spans="2:2" ht="15">
      <c r="B897"/>
    </row>
    <row r="898" spans="2:2" ht="15">
      <c r="B898"/>
    </row>
    <row r="899" spans="2:2" ht="15">
      <c r="B899"/>
    </row>
    <row r="900" spans="2:2" ht="15">
      <c r="B900"/>
    </row>
    <row r="901" spans="2:2" ht="15">
      <c r="B901"/>
    </row>
    <row r="902" spans="2:2" ht="15">
      <c r="B902"/>
    </row>
    <row r="903" spans="2:2" ht="15">
      <c r="B903"/>
    </row>
    <row r="904" spans="2:2" ht="15">
      <c r="B904"/>
    </row>
    <row r="905" spans="2:2" ht="15">
      <c r="B905"/>
    </row>
    <row r="906" spans="2:2" ht="15">
      <c r="B906"/>
    </row>
    <row r="907" spans="2:2" ht="15">
      <c r="B907"/>
    </row>
    <row r="908" spans="2:2" ht="15">
      <c r="B908"/>
    </row>
    <row r="909" spans="2:2" ht="15">
      <c r="B909"/>
    </row>
    <row r="910" spans="2:2" ht="15">
      <c r="B910"/>
    </row>
    <row r="911" spans="2:2" ht="15">
      <c r="B911"/>
    </row>
    <row r="912" spans="2:2" ht="15">
      <c r="B912"/>
    </row>
    <row r="913" spans="2:2" ht="15">
      <c r="B913"/>
    </row>
    <row r="914" spans="2:2" ht="15">
      <c r="B914"/>
    </row>
    <row r="915" spans="2:2" ht="15">
      <c r="B915"/>
    </row>
    <row r="916" spans="2:2" ht="15">
      <c r="B916"/>
    </row>
    <row r="917" spans="2:2" ht="15">
      <c r="B917"/>
    </row>
    <row r="918" spans="2:2" ht="15">
      <c r="B918"/>
    </row>
    <row r="919" spans="2:2" ht="15">
      <c r="B919"/>
    </row>
    <row r="920" spans="2:2" ht="15">
      <c r="B920"/>
    </row>
    <row r="921" spans="2:2" ht="15">
      <c r="B921"/>
    </row>
    <row r="922" spans="2:2" ht="15">
      <c r="B922"/>
    </row>
    <row r="923" spans="2:2" ht="15">
      <c r="B923"/>
    </row>
    <row r="924" spans="2:2" ht="15">
      <c r="B924"/>
    </row>
    <row r="925" spans="2:2" ht="15">
      <c r="B925"/>
    </row>
    <row r="926" spans="2:2" ht="15">
      <c r="B926"/>
    </row>
    <row r="927" spans="2:2" ht="15">
      <c r="B927"/>
    </row>
    <row r="928" spans="2:2" ht="15">
      <c r="B928"/>
    </row>
    <row r="929" spans="2:2" ht="15">
      <c r="B929"/>
    </row>
    <row r="930" spans="2:2" ht="15">
      <c r="B930"/>
    </row>
    <row r="931" spans="2:2" ht="15">
      <c r="B931"/>
    </row>
    <row r="932" spans="2:2" ht="15">
      <c r="B932"/>
    </row>
    <row r="933" spans="2:2" ht="15">
      <c r="B933"/>
    </row>
    <row r="934" spans="2:2" ht="15">
      <c r="B934"/>
    </row>
    <row r="935" spans="2:2" ht="15">
      <c r="B935"/>
    </row>
    <row r="936" spans="2:2" ht="15">
      <c r="B936"/>
    </row>
    <row r="937" spans="2:2" ht="15">
      <c r="B937"/>
    </row>
  </sheetData>
  <sheetProtection password="CC59" sheet="1" objects="1" scenarios="1"/>
  <mergeCells count="33">
    <mergeCell ref="B3:G3"/>
    <mergeCell ref="C7:C9"/>
    <mergeCell ref="C11:C12"/>
    <mergeCell ref="C15:C16"/>
    <mergeCell ref="B17:B18"/>
    <mergeCell ref="C17:C18"/>
    <mergeCell ref="B20:B25"/>
    <mergeCell ref="C20:C25"/>
    <mergeCell ref="B26:B30"/>
    <mergeCell ref="C26:C30"/>
    <mergeCell ref="B31:B34"/>
    <mergeCell ref="C31:C34"/>
    <mergeCell ref="B74:G78"/>
    <mergeCell ref="C35:C42"/>
    <mergeCell ref="B43:B44"/>
    <mergeCell ref="C43:C44"/>
    <mergeCell ref="B45:B50"/>
    <mergeCell ref="C45:C50"/>
    <mergeCell ref="B51:B59"/>
    <mergeCell ref="C51:C59"/>
    <mergeCell ref="C60:C62"/>
    <mergeCell ref="B63:B65"/>
    <mergeCell ref="C63:C65"/>
    <mergeCell ref="C66:C69"/>
    <mergeCell ref="C70:C73"/>
    <mergeCell ref="S179:V179"/>
    <mergeCell ref="W179:Z179"/>
    <mergeCell ref="B80:J80"/>
    <mergeCell ref="C82:F83"/>
    <mergeCell ref="G82:J82"/>
    <mergeCell ref="C122:F123"/>
    <mergeCell ref="N176:Q176"/>
    <mergeCell ref="I179:L179"/>
  </mergeCells>
  <hyperlinks>
    <hyperlink ref="B2" location="'Hoja índice'!A1" display="Indice"/>
    <hyperlink ref="B86" location="'Hoja índice'!A1" display="Indice"/>
  </hyperlink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Hoja índice</vt:lpstr>
      <vt:lpstr>Parametros Generales</vt:lpstr>
      <vt:lpstr>Salarios de Ref</vt:lpstr>
      <vt:lpstr>Componentes T.H.</vt:lpstr>
      <vt:lpstr>Cost x Depart</vt:lpstr>
      <vt:lpstr>Res de Costos X Dept</vt:lpstr>
      <vt:lpstr>Res de Costos Pais</vt:lpstr>
      <vt:lpstr>Analisis de Escenarios</vt:lpstr>
      <vt:lpstr>Transporte y Viaticos</vt:lpstr>
      <vt:lpstr>Codigos</vt:lpstr>
      <vt:lpstr>Cot. Refrig. </vt:lpstr>
      <vt:lpstr>Cot. Papeleria</vt:lpstr>
      <vt:lpstr>Cot Int y Cel</vt:lpstr>
      <vt:lpstr>Cot. Chalecos</vt:lpstr>
      <vt:lpstr>___INDEX_SHEET___ASAP_Utilities</vt:lpstr>
      <vt:lpstr>'Componentes T.H.'!Área_de_impresión</vt:lpstr>
      <vt:lpstr>'Cost x Depart'!Área_de_impresión</vt:lpstr>
      <vt:lpstr>'Res de Costos Pais'!Área_de_impresión</vt:lpstr>
      <vt:lpstr>'Res de Costos X Dept'!Área_de_impresión</vt:lpstr>
      <vt:lpstr>'Salarios de Ref'!Área_de_impresión</vt:lpstr>
      <vt:lpstr>Dias</vt:lpstr>
      <vt:lpstr>perfil</vt:lpstr>
      <vt:lpstr>PERFILES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Lenovo User</cp:lastModifiedBy>
  <dcterms:created xsi:type="dcterms:W3CDTF">2013-01-11T12:33:19Z</dcterms:created>
  <dcterms:modified xsi:type="dcterms:W3CDTF">2013-03-21T21:21:33Z</dcterms:modified>
</cp:coreProperties>
</file>